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codeName="EsteLivro" defaultThemeVersion="166925"/>
  <mc:AlternateContent xmlns:mc="http://schemas.openxmlformats.org/markup-compatibility/2006">
    <mc:Choice Requires="x15">
      <x15ac:absPath xmlns:x15ac="http://schemas.microsoft.com/office/spreadsheetml/2010/11/ac" url="C:\Users\lpereira\Downloads\"/>
    </mc:Choice>
  </mc:AlternateContent>
  <xr:revisionPtr revIDLastSave="0" documentId="13_ncr:1_{AEFF343C-33EE-4449-938B-CC0201E18B9A}" xr6:coauthVersionLast="36" xr6:coauthVersionMax="36" xr10:uidLastSave="{00000000-0000-0000-0000-000000000000}"/>
  <bookViews>
    <workbookView xWindow="0" yWindow="0" windowWidth="23040" windowHeight="9204" tabRatio="724" xr2:uid="{00000000-000D-0000-FFFF-FFFF00000000}"/>
  </bookViews>
  <sheets>
    <sheet name="Índice" sheetId="18" r:id="rId1"/>
    <sheet name="Instruções" sheetId="4" r:id="rId2"/>
    <sheet name="Resumo" sheetId="19" r:id="rId3"/>
    <sheet name="BAL" sheetId="5" r:id="rId4"/>
    <sheet name="DR" sheetId="1" r:id="rId5"/>
    <sheet name="DFC" sheetId="6" r:id="rId6"/>
    <sheet name="Investimentos" sheetId="20" r:id="rId7"/>
    <sheet name="Eficiência operacional" sheetId="11" r:id="rId8"/>
    <sheet name="RH" sheetId="9" r:id="rId9"/>
    <sheet name="Mapa RH" sheetId="16" r:id="rId10"/>
    <sheet name="Outros" sheetId="14" r:id="rId11"/>
    <sheet name="Quadro Resumo" sheetId="12" r:id="rId12"/>
    <sheet name="Rácios Financeiros" sheetId="7" r:id="rId13"/>
  </sheets>
  <definedNames>
    <definedName name="Arrears_2023">Outros!$C$20</definedName>
    <definedName name="Arrears_2024">Outros!$E$20</definedName>
    <definedName name="Arrears_2025">Outros!$F$20</definedName>
    <definedName name="Arrears_2026">Outros!$G$20</definedName>
    <definedName name="Arrears_2027">Outros!$H$20</definedName>
    <definedName name="Ativo">BAL!$D$40:$L$40</definedName>
    <definedName name="Ativo_2023">BAL!$D$40</definedName>
    <definedName name="Ativo_2024">BAL!$F$40</definedName>
    <definedName name="Ativo_2025">BAL!$J$40</definedName>
    <definedName name="Ativo_2026">BAL!$K$40</definedName>
    <definedName name="Ativo_2027">BAL!$L$40</definedName>
    <definedName name="Ativo_Corrente">BAL!$D$39:$L$39</definedName>
    <definedName name="Ativo_Corrente_2023">BAL!$D$39</definedName>
    <definedName name="Ativo_Corrente_2024">BAL!$F$39</definedName>
    <definedName name="Ativo_Corrente_2025">BAL!$J$39</definedName>
    <definedName name="Ativo_Corrente_2026">BAL!$K$39</definedName>
    <definedName name="Ativo_Corrente_2027">BAL!$L$39</definedName>
    <definedName name="Ativo_Não_Corrente">BAL!$D$23:$L$23</definedName>
    <definedName name="Ativo_Não_Corrente_2023">BAL!$D$23</definedName>
    <definedName name="Ativo_Não_Corrente_2024">BAL!$F$23</definedName>
    <definedName name="Ativo_Não_Corrente_2025">BAL!$J$23</definedName>
    <definedName name="Ativo_Não_Corrente_2026">BAL!$K$23</definedName>
    <definedName name="Ativo_Não_Corrente_2027">BAL!$L$23</definedName>
    <definedName name="Caixa_DFC_2023">DFC!$D$54</definedName>
    <definedName name="Caixa_DFC_2024">DFC!$F$54</definedName>
    <definedName name="Caixa_DFC_2025">DFC!$J$54</definedName>
    <definedName name="Caixa_DFC_2026">DFC!$K$54</definedName>
    <definedName name="Caixa_DFC_2027">DFC!$L$54</definedName>
    <definedName name="CMVMC_2023">DR!$D$15</definedName>
    <definedName name="CMVMC_2024">DR!$F$15</definedName>
    <definedName name="CMVMC_2025">DR!$J$15</definedName>
    <definedName name="CMVMC_2026">DR!$K$15</definedName>
    <definedName name="CMVMC_2027">DR!$L$15</definedName>
    <definedName name="Disponibilidade_2023">BAL!$D$38</definedName>
    <definedName name="Disponibilidade_2024">BAL!$F$38</definedName>
    <definedName name="Disponibilidade_2025">BAL!$J$38</definedName>
    <definedName name="Disponibilidade_2026">BAL!$K$38</definedName>
    <definedName name="Disponibilidade_2027">BAL!$L$38</definedName>
    <definedName name="E_Oper_2023">'Eficiência operacional'!$C$32</definedName>
    <definedName name="E_Oper_2024">'Eficiência operacional'!$E$32</definedName>
    <definedName name="E_Oper_2025">'Eficiência operacional'!$F$32</definedName>
    <definedName name="E_Oper_2026">'Eficiência operacional'!$G$32</definedName>
    <definedName name="E_Oper_2027">'Eficiência operacional'!$H$32</definedName>
    <definedName name="EBITDA_2023">DR!$D$28</definedName>
    <definedName name="EBITDA_2024">DR!$F$28</definedName>
    <definedName name="EBITDA_2025">DR!$J$28</definedName>
    <definedName name="EBITDA_2026">DR!$K$28</definedName>
    <definedName name="EBITDA_2027">DR!$L$28</definedName>
    <definedName name="FO_PC_2023">BAL!$D$75</definedName>
    <definedName name="FO_PC_2024">BAL!$F$75</definedName>
    <definedName name="FO_PC_2025">BAL!$J$75</definedName>
    <definedName name="FO_PC_2026">BAL!$K$75</definedName>
    <definedName name="FO_PC_2027">BAL!$L$75</definedName>
    <definedName name="FO_PNC_2023">BAL!$D$60</definedName>
    <definedName name="FO_PNC_2024">BAL!$F$60</definedName>
    <definedName name="FO_PNC_2025">BAL!$J$60</definedName>
    <definedName name="FO_PNC_2026">BAL!$K$60</definedName>
    <definedName name="FO_PNC_2027">BAL!$L$60</definedName>
    <definedName name="FSE_2023">DR!$D$16</definedName>
    <definedName name="FSE_2024">DR!$F$16</definedName>
    <definedName name="FSE_2025">DR!$J$16</definedName>
    <definedName name="FSE_2026">DR!$K$16</definedName>
    <definedName name="FSE_2027">DR!$L$16</definedName>
    <definedName name="Gastos_com_órgãos_sociais_2023">RH!$C$14</definedName>
    <definedName name="Gastos_com_órgãos_sociais_2024">RH!$E$14</definedName>
    <definedName name="Gastos_com_órgãos_sociais_2025">RH!$F$14</definedName>
    <definedName name="Gastos_com_órgãos_sociais_2026">RH!$G$14</definedName>
    <definedName name="Gastos_com_órgãos_sociais_2027">RH!$H$14</definedName>
    <definedName name="Gastos_Pessoal_2023">DR!$D$17</definedName>
    <definedName name="Gastos_Pessoal_2024">DR!$F$17</definedName>
    <definedName name="Gastos_Pessoal_2025">DR!$J$17</definedName>
    <definedName name="Gastos_Pessoal_2026">DR!$K$17</definedName>
    <definedName name="Gastos_Pessoal_2027">DR!$L$17</definedName>
    <definedName name="GO_2023">'Eficiência operacional'!$C$19</definedName>
    <definedName name="GO_2024">'Eficiência operacional'!$E$19</definedName>
    <definedName name="GO_2025">'Eficiência operacional'!$F$19</definedName>
    <definedName name="GO_2026">'Eficiência operacional'!$G$19</definedName>
    <definedName name="GO_2027">'Eficiência operacional'!$H$19</definedName>
    <definedName name="O_G_Operac_2023">Outros!$C$35</definedName>
    <definedName name="O_G_Operac_2024">Outros!$E$35</definedName>
    <definedName name="O_G_Operac_2025">Outros!$F$35</definedName>
    <definedName name="O_G_Operac_2026">Outros!$G$35</definedName>
    <definedName name="O_G_Operac_2027">Outros!$H$35</definedName>
    <definedName name="Passivo">BAL!$D$83:$L$83</definedName>
    <definedName name="Passivo_2023">BAL!$D$83</definedName>
    <definedName name="Passivo_2024">BAL!$F$83</definedName>
    <definedName name="Passivo_2025">BAL!$J$83</definedName>
    <definedName name="Passivo_2026">BAL!$K$83</definedName>
    <definedName name="Passivo_2027">BAL!$L$83</definedName>
    <definedName name="Passivo_Corrente">BAL!$D$81:$L$81</definedName>
    <definedName name="Passivo_Corrente_2023">BAL!$D$81</definedName>
    <definedName name="Passivo_Corrente_2024">BAL!$F$81</definedName>
    <definedName name="Passivo_Corrente_2025">BAL!$J$81</definedName>
    <definedName name="Passivo_Corrente_2026">BAL!$K$81</definedName>
    <definedName name="Passivo_Corrente_2027">BAL!$L$81</definedName>
    <definedName name="Passivo_Não_Corrente">BAL!$D$67:$L$67</definedName>
    <definedName name="Passivo_Não_Corrente_2023">BAL!$D$67</definedName>
    <definedName name="Passivo_Não_Corrente_2024">BAL!$F$67</definedName>
    <definedName name="Passivo_Não_Corrente_2025">BAL!$J$67</definedName>
    <definedName name="Passivo_Não_Corrente_2026">BAL!$K$67</definedName>
    <definedName name="Passivo_Não_Corrente_2027">BAL!$L$67</definedName>
    <definedName name="Patrimonio_2023">BAL!$D$43</definedName>
    <definedName name="Patrimonio_2024">BAL!$F$43</definedName>
    <definedName name="Patrimonio_2025">BAL!$J$43</definedName>
    <definedName name="Patrimonio_2026">BAL!$K$43</definedName>
    <definedName name="Patrimonio_2027">BAL!$L$43</definedName>
    <definedName name="Patrimonio_Liquido_2023">BAL!$D$55</definedName>
    <definedName name="Patrimonio_Liquido_2024">BAL!$F$55</definedName>
    <definedName name="Patrimonio_Liquido_2025">BAL!$J$55</definedName>
    <definedName name="Patrimonio_Liquido_2026">BAL!$K$55</definedName>
    <definedName name="Patrimonio_Liquido_2027">BAL!$L$55</definedName>
    <definedName name="PMP_2023">Outros!$C$18</definedName>
    <definedName name="PMP_2024">Outros!$E$18</definedName>
    <definedName name="PMP_2025">Outros!$F$18</definedName>
    <definedName name="PMP_2026">Outros!$G$18</definedName>
    <definedName name="PMP_2027">Outros!$H$18</definedName>
    <definedName name="PS_2023">DR!$D$10</definedName>
    <definedName name="PS_2024">DR!$F$10</definedName>
    <definedName name="PS_2025">DR!$J$10</definedName>
    <definedName name="PS_2026">DR!$K$10</definedName>
    <definedName name="PS_2027">DR!$L$10</definedName>
    <definedName name="RAI_2023">DR!$D$39</definedName>
    <definedName name="RAI_2024">DR!$F$39</definedName>
    <definedName name="RAI_2025">DR!$J$39</definedName>
    <definedName name="RAI_2026">DR!$K$39</definedName>
    <definedName name="RAI_2027">DR!$L$39</definedName>
    <definedName name="RL_2023">DR!$D$43</definedName>
    <definedName name="RL_2024">DR!$F$43</definedName>
    <definedName name="RL_2025">DR!$J$43</definedName>
    <definedName name="RL_2026">DR!$K$43</definedName>
    <definedName name="RL_2027">DR!$L$43</definedName>
    <definedName name="RL_Bal_2023">BAL!$D$52</definedName>
    <definedName name="RL_Bal_2024">BAL!$F$52</definedName>
    <definedName name="RL_Bal_2025">BAL!$J$52</definedName>
    <definedName name="RL_Bal_2026">BAL!$K$52</definedName>
    <definedName name="RL_Bal_2027">BAL!$L$52</definedName>
    <definedName name="RO_2023">DR!$D$33</definedName>
    <definedName name="RO_2024">DR!$F$33</definedName>
    <definedName name="RO_2025">DR!$J$33</definedName>
    <definedName name="RO_2026">DR!$K$33</definedName>
    <definedName name="RO_2027">DR!$L$33</definedName>
    <definedName name="Total_do_Património_Líquido">BAL!$D$55:$L$55</definedName>
    <definedName name="Vendas_2023">DR!$D$9</definedName>
    <definedName name="Vendas_2024">DR!$F$9</definedName>
    <definedName name="Vendas_2025">DR!$J$9</definedName>
    <definedName name="Vendas_2026">DR!$K$9</definedName>
    <definedName name="Vendas_2027">DR!$L$9</definedName>
    <definedName name="VN_2023">'Eficiência operacional'!$C$30</definedName>
    <definedName name="VN_2024">'Eficiência operacional'!$E$30</definedName>
    <definedName name="VN_2025">'Eficiência operacional'!$F$30</definedName>
    <definedName name="VN_2026">'Eficiência operacional'!$G$30</definedName>
    <definedName name="VN_2027">'Eficiência operacional'!$H$30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2" l="1"/>
  <c r="F9" i="12"/>
  <c r="G9" i="12"/>
  <c r="D9" i="12"/>
  <c r="I10" i="12" l="1"/>
  <c r="E10" i="12"/>
  <c r="F10" i="12"/>
  <c r="G10" i="12"/>
  <c r="D10" i="12"/>
  <c r="I5" i="20"/>
  <c r="H5" i="20"/>
  <c r="G5" i="20"/>
  <c r="F5" i="20"/>
  <c r="J5" i="6"/>
  <c r="I5" i="6"/>
  <c r="H5" i="6"/>
  <c r="G5" i="6"/>
  <c r="J5" i="1"/>
  <c r="I5" i="1"/>
  <c r="H5" i="1"/>
  <c r="G5" i="1"/>
  <c r="J5" i="5"/>
  <c r="I5" i="5"/>
  <c r="H5" i="5"/>
  <c r="G5" i="5"/>
  <c r="E11" i="12" l="1"/>
  <c r="F11" i="12"/>
  <c r="G11" i="12"/>
  <c r="D11" i="12"/>
  <c r="G9" i="14"/>
  <c r="G8" i="14"/>
  <c r="F19" i="12" s="1"/>
  <c r="G20" i="12"/>
  <c r="F20" i="12"/>
  <c r="E20" i="12"/>
  <c r="D20" i="12"/>
  <c r="I20" i="12" l="1"/>
  <c r="G13" i="14"/>
  <c r="C45" i="19" l="1"/>
  <c r="I24" i="11" l="1"/>
  <c r="C44" i="19"/>
  <c r="C43" i="19"/>
  <c r="C42" i="19"/>
  <c r="B39" i="19"/>
  <c r="D41" i="19"/>
  <c r="C41" i="19"/>
  <c r="H15" i="4" l="1"/>
  <c r="G15" i="4"/>
  <c r="F15" i="4"/>
  <c r="E15" i="4"/>
  <c r="E5" i="16" l="1"/>
  <c r="B23" i="9" l="1"/>
  <c r="C5" i="16"/>
  <c r="C35" i="9" l="1"/>
  <c r="H35" i="9"/>
  <c r="G35" i="9"/>
  <c r="F35" i="9"/>
  <c r="E35" i="9"/>
  <c r="D35" i="9"/>
  <c r="I36" i="9"/>
  <c r="J36" i="9" s="1"/>
  <c r="E42" i="19"/>
  <c r="E45" i="19"/>
  <c r="E44" i="19"/>
  <c r="E43" i="19"/>
  <c r="I5" i="11"/>
  <c r="H5" i="11"/>
  <c r="G5" i="11"/>
  <c r="F5" i="11"/>
  <c r="C5" i="11"/>
  <c r="E34" i="9"/>
  <c r="D33" i="9"/>
  <c r="C13" i="9"/>
  <c r="F13" i="9"/>
  <c r="E13" i="9"/>
  <c r="D13" i="9"/>
  <c r="K11" i="12"/>
  <c r="J11" i="12"/>
  <c r="I11" i="12"/>
  <c r="K10" i="12"/>
  <c r="J10" i="12"/>
  <c r="M10" i="12" s="1"/>
  <c r="M11" i="12" l="1"/>
  <c r="I35" i="9"/>
  <c r="J35" i="9" s="1"/>
  <c r="G13" i="9"/>
  <c r="H13" i="9"/>
  <c r="K20" i="12"/>
  <c r="J20" i="12"/>
  <c r="O20" i="12"/>
  <c r="M20" i="12" l="1"/>
  <c r="P20" i="12"/>
  <c r="R20" i="12" l="1"/>
  <c r="S20" i="12"/>
  <c r="G14" i="12" l="1"/>
  <c r="F14" i="12"/>
  <c r="E14" i="12"/>
  <c r="D14" i="12"/>
  <c r="D8" i="9"/>
  <c r="D25" i="11"/>
  <c r="D23" i="11"/>
  <c r="D22" i="11"/>
  <c r="D12" i="11"/>
  <c r="D10" i="11"/>
  <c r="D9" i="11"/>
  <c r="D8" i="11"/>
  <c r="D5" i="11"/>
  <c r="D6" i="11" s="1"/>
  <c r="E5" i="11"/>
  <c r="I44" i="14"/>
  <c r="J44" i="14" s="1"/>
  <c r="I45" i="14"/>
  <c r="J45" i="14" s="1"/>
  <c r="I38" i="14"/>
  <c r="J38" i="14"/>
  <c r="I23" i="14"/>
  <c r="I42" i="14"/>
  <c r="J42" i="14" s="1"/>
  <c r="I41" i="14"/>
  <c r="J41" i="14" s="1"/>
  <c r="H38" i="14"/>
  <c r="H39" i="14" s="1"/>
  <c r="G38" i="14"/>
  <c r="G39" i="14" s="1"/>
  <c r="F38" i="14"/>
  <c r="F39" i="14" s="1"/>
  <c r="F23" i="14"/>
  <c r="E38" i="14"/>
  <c r="E39" i="14" s="1"/>
  <c r="D38" i="14"/>
  <c r="D39" i="14" s="1"/>
  <c r="C38" i="14"/>
  <c r="C39" i="14" s="1"/>
  <c r="E23" i="14"/>
  <c r="C23" i="14"/>
  <c r="D35" i="14"/>
  <c r="C9" i="14"/>
  <c r="C8" i="14"/>
  <c r="K9" i="12"/>
  <c r="J9" i="12"/>
  <c r="I9" i="12"/>
  <c r="D5" i="6"/>
  <c r="E6" i="6" s="1"/>
  <c r="G35" i="19"/>
  <c r="F35" i="19"/>
  <c r="E35" i="19"/>
  <c r="D35" i="19"/>
  <c r="G20" i="19"/>
  <c r="F20" i="19"/>
  <c r="E20" i="19"/>
  <c r="D20" i="19"/>
  <c r="C20" i="19"/>
  <c r="G8" i="19"/>
  <c r="F8" i="19"/>
  <c r="E8" i="19"/>
  <c r="D8" i="19"/>
  <c r="C8" i="19"/>
  <c r="I15" i="9"/>
  <c r="I16" i="9"/>
  <c r="I23" i="9"/>
  <c r="J23" i="9" s="1"/>
  <c r="I24" i="9"/>
  <c r="J24" i="9" s="1"/>
  <c r="I25" i="9"/>
  <c r="J25" i="9" s="1"/>
  <c r="I27" i="9"/>
  <c r="J27" i="9" s="1"/>
  <c r="I28" i="9"/>
  <c r="D34" i="9"/>
  <c r="D32" i="9"/>
  <c r="D38" i="9" s="1"/>
  <c r="D46" i="9"/>
  <c r="D23" i="14"/>
  <c r="D24" i="14" s="1"/>
  <c r="D15" i="14"/>
  <c r="D16" i="14" s="1"/>
  <c r="D5" i="14"/>
  <c r="D6" i="14" s="1"/>
  <c r="E5" i="14"/>
  <c r="D5" i="9"/>
  <c r="D6" i="9" s="1"/>
  <c r="E5" i="9"/>
  <c r="D33" i="20"/>
  <c r="D32" i="20"/>
  <c r="D5" i="20"/>
  <c r="D6" i="20" s="1"/>
  <c r="E5" i="20"/>
  <c r="E50" i="6"/>
  <c r="E14" i="6"/>
  <c r="E16" i="6" s="1"/>
  <c r="E35" i="6"/>
  <c r="E5" i="6"/>
  <c r="F5" i="6"/>
  <c r="E28" i="1"/>
  <c r="E33" i="1" s="1"/>
  <c r="E23" i="5"/>
  <c r="E39" i="5"/>
  <c r="E55" i="5"/>
  <c r="E67" i="5"/>
  <c r="E81" i="5"/>
  <c r="E5" i="5"/>
  <c r="F5" i="5"/>
  <c r="E5" i="1"/>
  <c r="F5" i="1"/>
  <c r="I17" i="9"/>
  <c r="J17" i="9" s="1"/>
  <c r="G15" i="19"/>
  <c r="F15" i="19"/>
  <c r="E15" i="19"/>
  <c r="D15" i="19"/>
  <c r="C15" i="19"/>
  <c r="D55" i="5"/>
  <c r="C14" i="19" s="1"/>
  <c r="K33" i="20"/>
  <c r="J33" i="20"/>
  <c r="I33" i="20"/>
  <c r="H33" i="20"/>
  <c r="G33" i="20"/>
  <c r="F33" i="20"/>
  <c r="E33" i="20"/>
  <c r="K32" i="20"/>
  <c r="J32" i="20"/>
  <c r="I32" i="20"/>
  <c r="H32" i="20"/>
  <c r="H35" i="20" s="1"/>
  <c r="G32" i="20"/>
  <c r="F32" i="20"/>
  <c r="E32" i="20"/>
  <c r="K5" i="20"/>
  <c r="J5" i="20"/>
  <c r="K6" i="20" s="1"/>
  <c r="J6" i="20"/>
  <c r="M9" i="12" l="1"/>
  <c r="D12" i="14"/>
  <c r="J35" i="20"/>
  <c r="I35" i="20"/>
  <c r="D21" i="11"/>
  <c r="D30" i="11" s="1"/>
  <c r="E52" i="6"/>
  <c r="E35" i="20"/>
  <c r="K35" i="20"/>
  <c r="F35" i="20"/>
  <c r="D7" i="11"/>
  <c r="D19" i="11" s="1"/>
  <c r="D43" i="9"/>
  <c r="K14" i="12"/>
  <c r="I14" i="12"/>
  <c r="O14" i="12" s="1"/>
  <c r="J14" i="12"/>
  <c r="G35" i="20"/>
  <c r="D35" i="20"/>
  <c r="E39" i="1"/>
  <c r="E43" i="1" s="1"/>
  <c r="E40" i="5"/>
  <c r="E83" i="5"/>
  <c r="E85" i="5" s="1"/>
  <c r="E6" i="20"/>
  <c r="G6" i="20"/>
  <c r="H6" i="20"/>
  <c r="I6" i="20"/>
  <c r="F6" i="20"/>
  <c r="J28" i="9"/>
  <c r="D32" i="11" l="1"/>
  <c r="A35" i="20"/>
  <c r="C58" i="19" s="1"/>
  <c r="D42" i="9"/>
  <c r="D41" i="9"/>
  <c r="M14" i="12"/>
  <c r="P14" i="12"/>
  <c r="C25" i="11"/>
  <c r="H25" i="11"/>
  <c r="G25" i="11"/>
  <c r="F25" i="11"/>
  <c r="E25" i="11"/>
  <c r="R14" i="12" l="1"/>
  <c r="S14" i="12"/>
  <c r="I25" i="11"/>
  <c r="J25" i="11" s="1"/>
  <c r="L55" i="5"/>
  <c r="K55" i="5"/>
  <c r="J55" i="5"/>
  <c r="I55" i="5"/>
  <c r="H55" i="5"/>
  <c r="G55" i="5"/>
  <c r="F55" i="5"/>
  <c r="I23" i="5"/>
  <c r="H23" i="5"/>
  <c r="G23" i="5"/>
  <c r="I39" i="5"/>
  <c r="H39" i="5"/>
  <c r="G39" i="5"/>
  <c r="I67" i="5"/>
  <c r="H67" i="5"/>
  <c r="G67" i="5"/>
  <c r="I81" i="5"/>
  <c r="H81" i="5"/>
  <c r="G81" i="5"/>
  <c r="I28" i="1"/>
  <c r="I33" i="1" s="1"/>
  <c r="H28" i="1"/>
  <c r="H33" i="1" s="1"/>
  <c r="G28" i="1"/>
  <c r="G33" i="1" s="1"/>
  <c r="F9" i="14"/>
  <c r="C12" i="11"/>
  <c r="E12" i="11"/>
  <c r="F10" i="11"/>
  <c r="E24" i="19" s="1"/>
  <c r="E10" i="11"/>
  <c r="D24" i="19" s="1"/>
  <c r="I14" i="6"/>
  <c r="I16" i="6" s="1"/>
  <c r="H14" i="6"/>
  <c r="H16" i="6" s="1"/>
  <c r="G14" i="6"/>
  <c r="G16" i="6" s="1"/>
  <c r="I35" i="6"/>
  <c r="H35" i="6"/>
  <c r="G35" i="6"/>
  <c r="I50" i="6"/>
  <c r="H50" i="6"/>
  <c r="G50" i="6"/>
  <c r="F46" i="9"/>
  <c r="F8" i="9"/>
  <c r="C8" i="9"/>
  <c r="G35" i="14"/>
  <c r="H35" i="14"/>
  <c r="F35" i="14"/>
  <c r="E35" i="14"/>
  <c r="C35" i="14"/>
  <c r="I33" i="14"/>
  <c r="J33" i="14" s="1"/>
  <c r="I32" i="14"/>
  <c r="J32" i="14" s="1"/>
  <c r="I31" i="14"/>
  <c r="J31" i="14" s="1"/>
  <c r="I30" i="14"/>
  <c r="J30" i="14" s="1"/>
  <c r="I29" i="14"/>
  <c r="J29" i="14" s="1"/>
  <c r="I28" i="14"/>
  <c r="J28" i="14" s="1"/>
  <c r="I27" i="14"/>
  <c r="J27" i="14" s="1"/>
  <c r="I26" i="14"/>
  <c r="J26" i="14" s="1"/>
  <c r="J23" i="14"/>
  <c r="H23" i="14"/>
  <c r="H24" i="14" s="1"/>
  <c r="G23" i="14"/>
  <c r="G24" i="14" s="1"/>
  <c r="F24" i="14"/>
  <c r="E24" i="14"/>
  <c r="C24" i="14"/>
  <c r="H34" i="9"/>
  <c r="G34" i="9"/>
  <c r="F34" i="9"/>
  <c r="I34" i="9" s="1"/>
  <c r="J34" i="9" s="1"/>
  <c r="C34" i="9"/>
  <c r="H33" i="9"/>
  <c r="G33" i="9"/>
  <c r="F33" i="9"/>
  <c r="E33" i="9"/>
  <c r="C33" i="9"/>
  <c r="H32" i="9"/>
  <c r="G32" i="9"/>
  <c r="F32" i="9"/>
  <c r="E32" i="9"/>
  <c r="C32" i="9"/>
  <c r="H46" i="9"/>
  <c r="G46" i="9"/>
  <c r="E46" i="9"/>
  <c r="C46" i="9"/>
  <c r="N9" i="16"/>
  <c r="T9" i="16" s="1"/>
  <c r="Z9" i="16" s="1"/>
  <c r="G17" i="16"/>
  <c r="F17" i="16"/>
  <c r="E17" i="16"/>
  <c r="U5" i="16"/>
  <c r="Z5" i="16"/>
  <c r="T5" i="16"/>
  <c r="N5" i="16"/>
  <c r="H5" i="16"/>
  <c r="O5" i="16"/>
  <c r="Y17" i="16"/>
  <c r="X17" i="16"/>
  <c r="W17" i="16"/>
  <c r="V17" i="16"/>
  <c r="U17" i="16"/>
  <c r="S17" i="16"/>
  <c r="R17" i="16"/>
  <c r="Q17" i="16"/>
  <c r="P17" i="16"/>
  <c r="O17" i="16"/>
  <c r="E8" i="14"/>
  <c r="F8" i="14"/>
  <c r="G5" i="12"/>
  <c r="F5" i="12"/>
  <c r="F6" i="12" s="1"/>
  <c r="E5" i="12"/>
  <c r="E6" i="12" s="1"/>
  <c r="D5" i="12"/>
  <c r="D6" i="12" s="1"/>
  <c r="C12" i="4"/>
  <c r="B36" i="14" s="1"/>
  <c r="E19" i="12" l="1"/>
  <c r="I8" i="14"/>
  <c r="E25" i="19"/>
  <c r="E14" i="19"/>
  <c r="F14" i="19"/>
  <c r="G14" i="19"/>
  <c r="D14" i="19"/>
  <c r="C38" i="9"/>
  <c r="C41" i="9" s="1"/>
  <c r="E38" i="9"/>
  <c r="G6" i="12"/>
  <c r="H39" i="1"/>
  <c r="H43" i="1" s="1"/>
  <c r="G39" i="1"/>
  <c r="G43" i="1" s="1"/>
  <c r="I39" i="1"/>
  <c r="I43" i="1" s="1"/>
  <c r="G52" i="6"/>
  <c r="H52" i="6"/>
  <c r="I52" i="6"/>
  <c r="G83" i="5"/>
  <c r="G85" i="5" s="1"/>
  <c r="G40" i="5"/>
  <c r="H40" i="5"/>
  <c r="I83" i="5"/>
  <c r="I85" i="5" s="1"/>
  <c r="I40" i="5"/>
  <c r="I35" i="14"/>
  <c r="J35" i="14" s="1"/>
  <c r="H83" i="5"/>
  <c r="H85" i="5" s="1"/>
  <c r="H38" i="9"/>
  <c r="F38" i="9"/>
  <c r="G38" i="9"/>
  <c r="D5" i="16"/>
  <c r="N15" i="16"/>
  <c r="N14" i="16"/>
  <c r="N13" i="16"/>
  <c r="N12" i="16"/>
  <c r="N11" i="16"/>
  <c r="T11" i="16" s="1"/>
  <c r="Z11" i="16" s="1"/>
  <c r="N10" i="16"/>
  <c r="D17" i="16"/>
  <c r="H17" i="16"/>
  <c r="I17" i="16"/>
  <c r="J17" i="16"/>
  <c r="K17" i="16"/>
  <c r="L17" i="16"/>
  <c r="M17" i="16"/>
  <c r="C17" i="16"/>
  <c r="J19" i="12" l="1"/>
  <c r="H87" i="5"/>
  <c r="G87" i="5"/>
  <c r="I87" i="5"/>
  <c r="G41" i="9"/>
  <c r="F41" i="9"/>
  <c r="H41" i="9"/>
  <c r="T13" i="16"/>
  <c r="Z13" i="16" s="1"/>
  <c r="T12" i="16"/>
  <c r="Z12" i="16" s="1"/>
  <c r="T14" i="16"/>
  <c r="T15" i="16"/>
  <c r="Z15" i="16" s="1"/>
  <c r="T10" i="16"/>
  <c r="Z10" i="16" s="1"/>
  <c r="N17" i="16"/>
  <c r="L28" i="1"/>
  <c r="K28" i="1"/>
  <c r="J28" i="1"/>
  <c r="F28" i="1"/>
  <c r="D28" i="1"/>
  <c r="C28" i="19" s="1"/>
  <c r="C29" i="19" s="1"/>
  <c r="K5" i="12"/>
  <c r="J5" i="12"/>
  <c r="I5" i="12"/>
  <c r="H15" i="14"/>
  <c r="H16" i="14" s="1"/>
  <c r="I20" i="14"/>
  <c r="J20" i="14" s="1"/>
  <c r="I15" i="14"/>
  <c r="I5" i="14"/>
  <c r="G15" i="14"/>
  <c r="G16" i="14" s="1"/>
  <c r="G5" i="14"/>
  <c r="F15" i="14"/>
  <c r="F16" i="14" s="1"/>
  <c r="F5" i="14"/>
  <c r="E15" i="14"/>
  <c r="E16" i="14" s="1"/>
  <c r="C15" i="14"/>
  <c r="C16" i="14" s="1"/>
  <c r="C5" i="14"/>
  <c r="C6" i="14" s="1"/>
  <c r="I18" i="14"/>
  <c r="J18" i="14" s="1"/>
  <c r="H9" i="14"/>
  <c r="G12" i="14"/>
  <c r="E9" i="14"/>
  <c r="H8" i="14"/>
  <c r="I10" i="14"/>
  <c r="J10" i="14" s="1"/>
  <c r="G19" i="12" l="1"/>
  <c r="K19" i="12" s="1"/>
  <c r="F12" i="14"/>
  <c r="E12" i="14"/>
  <c r="D19" i="12"/>
  <c r="I19" i="12" s="1"/>
  <c r="M19" i="12" s="1"/>
  <c r="H12" i="14"/>
  <c r="G28" i="19"/>
  <c r="F28" i="19"/>
  <c r="E28" i="19"/>
  <c r="D28" i="19"/>
  <c r="D29" i="19" s="1"/>
  <c r="D33" i="1"/>
  <c r="F33" i="1"/>
  <c r="T17" i="16"/>
  <c r="Z14" i="16"/>
  <c r="Z17" i="16" s="1"/>
  <c r="J33" i="1"/>
  <c r="K33" i="1"/>
  <c r="L33" i="1"/>
  <c r="J8" i="14"/>
  <c r="I12" i="14" l="1"/>
  <c r="H15" i="7"/>
  <c r="G17" i="12" s="1"/>
  <c r="E15" i="7"/>
  <c r="D17" i="12" s="1"/>
  <c r="F15" i="7"/>
  <c r="E17" i="12" s="1"/>
  <c r="D15" i="7"/>
  <c r="G15" i="7"/>
  <c r="F17" i="12" s="1"/>
  <c r="F29" i="19"/>
  <c r="E29" i="19"/>
  <c r="G29" i="19"/>
  <c r="K39" i="1"/>
  <c r="F30" i="19"/>
  <c r="D30" i="19"/>
  <c r="F39" i="1"/>
  <c r="D39" i="1"/>
  <c r="D43" i="1" s="1"/>
  <c r="D45" i="1" s="1"/>
  <c r="C30" i="19"/>
  <c r="C31" i="19" s="1"/>
  <c r="J39" i="1"/>
  <c r="E30" i="19"/>
  <c r="G30" i="19"/>
  <c r="L39" i="1"/>
  <c r="I9" i="14"/>
  <c r="J9" i="14" s="1"/>
  <c r="H5" i="14"/>
  <c r="H6" i="14" s="1"/>
  <c r="G6" i="14"/>
  <c r="F6" i="14"/>
  <c r="E6" i="14"/>
  <c r="C10" i="11"/>
  <c r="C24" i="19" s="1"/>
  <c r="H23" i="11"/>
  <c r="G23" i="11"/>
  <c r="F23" i="11"/>
  <c r="E23" i="11"/>
  <c r="C23" i="11"/>
  <c r="H22" i="11"/>
  <c r="G22" i="11"/>
  <c r="F22" i="11"/>
  <c r="E22" i="11"/>
  <c r="C22" i="11"/>
  <c r="H10" i="11"/>
  <c r="G24" i="19" s="1"/>
  <c r="G10" i="11"/>
  <c r="F24" i="19" s="1"/>
  <c r="F25" i="19" s="1"/>
  <c r="H9" i="11"/>
  <c r="G26" i="19" s="1"/>
  <c r="G9" i="11"/>
  <c r="F26" i="19" s="1"/>
  <c r="F9" i="11"/>
  <c r="E26" i="19" s="1"/>
  <c r="E9" i="11"/>
  <c r="D26" i="19" s="1"/>
  <c r="C9" i="11"/>
  <c r="C26" i="19" s="1"/>
  <c r="C27" i="19" s="1"/>
  <c r="H8" i="11"/>
  <c r="G8" i="11"/>
  <c r="F8" i="11"/>
  <c r="E8" i="11"/>
  <c r="C8" i="11"/>
  <c r="D67" i="5"/>
  <c r="C17" i="19" s="1"/>
  <c r="D81" i="5"/>
  <c r="C18" i="19" s="1"/>
  <c r="L67" i="5"/>
  <c r="G17" i="19" s="1"/>
  <c r="H8" i="9"/>
  <c r="G8" i="9"/>
  <c r="E8" i="9"/>
  <c r="I33" i="9"/>
  <c r="I20" i="9"/>
  <c r="I19" i="9"/>
  <c r="I18" i="9"/>
  <c r="I14" i="9"/>
  <c r="I11" i="9"/>
  <c r="I10" i="9"/>
  <c r="J10" i="9" s="1"/>
  <c r="I9" i="9"/>
  <c r="E41" i="9"/>
  <c r="I41" i="9" s="1"/>
  <c r="J41" i="9" s="1"/>
  <c r="I13" i="11"/>
  <c r="H12" i="11"/>
  <c r="G12" i="11"/>
  <c r="F12" i="11"/>
  <c r="I17" i="11"/>
  <c r="I16" i="11"/>
  <c r="I15" i="11"/>
  <c r="I14" i="11"/>
  <c r="I28" i="11"/>
  <c r="D5" i="1"/>
  <c r="E6" i="1" s="1"/>
  <c r="K6" i="1"/>
  <c r="K5" i="1"/>
  <c r="L6" i="1" s="1"/>
  <c r="L5" i="1"/>
  <c r="I17" i="12" l="1"/>
  <c r="O17" i="12" s="1"/>
  <c r="J17" i="12"/>
  <c r="F27" i="19"/>
  <c r="G25" i="19"/>
  <c r="K17" i="12"/>
  <c r="P19" i="12"/>
  <c r="O19" i="12"/>
  <c r="F31" i="19"/>
  <c r="E31" i="19"/>
  <c r="D31" i="19"/>
  <c r="D27" i="19"/>
  <c r="D25" i="19"/>
  <c r="C25" i="19"/>
  <c r="G27" i="19"/>
  <c r="E27" i="19"/>
  <c r="G31" i="19"/>
  <c r="J6" i="1"/>
  <c r="H6" i="1"/>
  <c r="G6" i="1"/>
  <c r="I6" i="1"/>
  <c r="C21" i="11"/>
  <c r="C22" i="19" s="1"/>
  <c r="C23" i="19" s="1"/>
  <c r="H7" i="11"/>
  <c r="F21" i="11"/>
  <c r="E22" i="19" s="1"/>
  <c r="H21" i="11"/>
  <c r="G22" i="19" s="1"/>
  <c r="E21" i="11"/>
  <c r="G21" i="11"/>
  <c r="F22" i="19" s="1"/>
  <c r="E7" i="11"/>
  <c r="C7" i="11"/>
  <c r="C19" i="11" s="1"/>
  <c r="F7" i="11"/>
  <c r="G7" i="11"/>
  <c r="F6" i="1"/>
  <c r="G43" i="9"/>
  <c r="G42" i="9"/>
  <c r="E43" i="9"/>
  <c r="E42" i="9"/>
  <c r="F43" i="9"/>
  <c r="F42" i="9"/>
  <c r="C42" i="9"/>
  <c r="C43" i="9"/>
  <c r="I8" i="11"/>
  <c r="D6" i="1"/>
  <c r="D83" i="5"/>
  <c r="C16" i="19" s="1"/>
  <c r="I8" i="9"/>
  <c r="P17" i="12" l="1"/>
  <c r="M17" i="12"/>
  <c r="R17" i="12" s="1"/>
  <c r="S19" i="12"/>
  <c r="R19" i="12"/>
  <c r="D22" i="19"/>
  <c r="E23" i="19" s="1"/>
  <c r="D13" i="12"/>
  <c r="D23" i="12" s="1"/>
  <c r="F23" i="19"/>
  <c r="G23" i="19"/>
  <c r="D8" i="7"/>
  <c r="C30" i="11"/>
  <c r="H30" i="11"/>
  <c r="F30" i="11"/>
  <c r="H19" i="11"/>
  <c r="F13" i="12"/>
  <c r="G8" i="7"/>
  <c r="E8" i="7"/>
  <c r="G13" i="12"/>
  <c r="G23" i="12" s="1"/>
  <c r="H8" i="7"/>
  <c r="E13" i="12"/>
  <c r="E23" i="12" s="1"/>
  <c r="F8" i="7"/>
  <c r="E30" i="11"/>
  <c r="G30" i="11"/>
  <c r="I21" i="11"/>
  <c r="J21" i="11" s="1"/>
  <c r="I7" i="11"/>
  <c r="J7" i="11" s="1"/>
  <c r="F19" i="11"/>
  <c r="E19" i="11"/>
  <c r="G19" i="11"/>
  <c r="D85" i="5"/>
  <c r="H43" i="9"/>
  <c r="H42" i="9"/>
  <c r="I43" i="9"/>
  <c r="J43" i="9" s="1"/>
  <c r="L50" i="6"/>
  <c r="K50" i="6"/>
  <c r="J50" i="6"/>
  <c r="F50" i="6"/>
  <c r="D50" i="6"/>
  <c r="F35" i="6"/>
  <c r="J35" i="6"/>
  <c r="K35" i="6"/>
  <c r="L35" i="6"/>
  <c r="D35" i="6"/>
  <c r="F14" i="6"/>
  <c r="F16" i="6" s="1"/>
  <c r="J14" i="6"/>
  <c r="J16" i="6" s="1"/>
  <c r="K14" i="6"/>
  <c r="K16" i="6" s="1"/>
  <c r="L14" i="6"/>
  <c r="L16" i="6" s="1"/>
  <c r="D14" i="6"/>
  <c r="D16" i="6" s="1"/>
  <c r="F23" i="12" l="1"/>
  <c r="K23" i="12" s="1"/>
  <c r="I23" i="12"/>
  <c r="M23" i="12"/>
  <c r="J13" i="12"/>
  <c r="G24" i="12"/>
  <c r="G29" i="12"/>
  <c r="F24" i="12"/>
  <c r="F29" i="12"/>
  <c r="E24" i="12"/>
  <c r="E29" i="12"/>
  <c r="D24" i="12"/>
  <c r="D29" i="12"/>
  <c r="D23" i="19"/>
  <c r="I13" i="12"/>
  <c r="O13" i="12" s="1"/>
  <c r="S17" i="12"/>
  <c r="M13" i="12"/>
  <c r="K13" i="12"/>
  <c r="F52" i="6"/>
  <c r="L52" i="6"/>
  <c r="J52" i="6"/>
  <c r="K52" i="6"/>
  <c r="D52" i="6"/>
  <c r="D54" i="6" s="1"/>
  <c r="J33" i="9"/>
  <c r="J20" i="9"/>
  <c r="J19" i="9"/>
  <c r="J18" i="9"/>
  <c r="J16" i="9"/>
  <c r="J15" i="9"/>
  <c r="J14" i="9"/>
  <c r="J11" i="9"/>
  <c r="J9" i="9"/>
  <c r="I5" i="9"/>
  <c r="H5" i="9"/>
  <c r="H6" i="9" s="1"/>
  <c r="G5" i="9"/>
  <c r="G6" i="9" s="1"/>
  <c r="F5" i="9"/>
  <c r="F6" i="9" s="1"/>
  <c r="E6" i="9"/>
  <c r="C5" i="9"/>
  <c r="C6" i="9" s="1"/>
  <c r="J23" i="12" l="1"/>
  <c r="R23" i="12"/>
  <c r="S23" i="12"/>
  <c r="O23" i="12"/>
  <c r="P23" i="12"/>
  <c r="I29" i="12"/>
  <c r="E53" i="6"/>
  <c r="E54" i="6" s="1"/>
  <c r="D56" i="6"/>
  <c r="I24" i="12"/>
  <c r="O24" i="12" s="1"/>
  <c r="J29" i="12"/>
  <c r="J24" i="12"/>
  <c r="K29" i="12"/>
  <c r="K24" i="12"/>
  <c r="M24" i="12"/>
  <c r="S24" i="12" s="1"/>
  <c r="S13" i="12"/>
  <c r="R13" i="12"/>
  <c r="P13" i="12"/>
  <c r="F53" i="6" l="1"/>
  <c r="F54" i="6" s="1"/>
  <c r="E56" i="6"/>
  <c r="P24" i="12"/>
  <c r="M29" i="12"/>
  <c r="S29" i="12" s="1"/>
  <c r="R24" i="12"/>
  <c r="P29" i="12"/>
  <c r="O29" i="12"/>
  <c r="J17" i="11"/>
  <c r="J16" i="11"/>
  <c r="J15" i="11"/>
  <c r="J24" i="11"/>
  <c r="J14" i="11"/>
  <c r="G53" i="6" l="1"/>
  <c r="F56" i="6"/>
  <c r="R29" i="12"/>
  <c r="I10" i="11"/>
  <c r="I9" i="11"/>
  <c r="J9" i="11" s="1"/>
  <c r="J53" i="6" l="1"/>
  <c r="J54" i="6" s="1"/>
  <c r="I53" i="6"/>
  <c r="H53" i="6"/>
  <c r="J8" i="9"/>
  <c r="J8" i="11"/>
  <c r="J10" i="11"/>
  <c r="I12" i="11"/>
  <c r="H6" i="11"/>
  <c r="L5" i="5"/>
  <c r="G6" i="11"/>
  <c r="K5" i="5"/>
  <c r="F6" i="11"/>
  <c r="E6" i="11"/>
  <c r="C6" i="11"/>
  <c r="D5" i="5"/>
  <c r="E6" i="5" s="1"/>
  <c r="K53" i="6" l="1"/>
  <c r="K54" i="6" s="1"/>
  <c r="I54" i="6"/>
  <c r="J56" i="6"/>
  <c r="I6" i="5"/>
  <c r="H6" i="5"/>
  <c r="G6" i="5"/>
  <c r="I32" i="9"/>
  <c r="J32" i="9" s="1"/>
  <c r="I13" i="9"/>
  <c r="J13" i="9" s="1"/>
  <c r="I23" i="11"/>
  <c r="J23" i="11" s="1"/>
  <c r="I22" i="11"/>
  <c r="J22" i="11" s="1"/>
  <c r="J12" i="11"/>
  <c r="H54" i="6" l="1"/>
  <c r="I56" i="6"/>
  <c r="L53" i="6"/>
  <c r="L54" i="6" s="1"/>
  <c r="L56" i="6" s="1"/>
  <c r="K56" i="6"/>
  <c r="I19" i="11"/>
  <c r="J19" i="11" s="1"/>
  <c r="G54" i="6" l="1"/>
  <c r="G56" i="6" s="1"/>
  <c r="H56" i="6"/>
  <c r="D23" i="5"/>
  <c r="C11" i="19" s="1"/>
  <c r="B1" i="1"/>
  <c r="B1" i="5"/>
  <c r="L81" i="5"/>
  <c r="G18" i="19" s="1"/>
  <c r="L39" i="5"/>
  <c r="F23" i="5"/>
  <c r="D11" i="19" s="1"/>
  <c r="J23" i="5"/>
  <c r="E11" i="19" s="1"/>
  <c r="K23" i="5"/>
  <c r="F11" i="19" s="1"/>
  <c r="L23" i="5"/>
  <c r="G11" i="19" s="1"/>
  <c r="K81" i="5"/>
  <c r="F18" i="19" s="1"/>
  <c r="J81" i="5"/>
  <c r="E18" i="19" s="1"/>
  <c r="F81" i="5"/>
  <c r="D18" i="19" s="1"/>
  <c r="K67" i="5"/>
  <c r="F17" i="19" s="1"/>
  <c r="J67" i="5"/>
  <c r="E17" i="19" s="1"/>
  <c r="F67" i="5"/>
  <c r="D17" i="19" s="1"/>
  <c r="K39" i="5"/>
  <c r="J39" i="5"/>
  <c r="E12" i="19" s="1"/>
  <c r="F39" i="5"/>
  <c r="D12" i="19" s="1"/>
  <c r="D39" i="5"/>
  <c r="L43" i="1"/>
  <c r="H10" i="7" s="1"/>
  <c r="G18" i="12" s="1"/>
  <c r="K43" i="1"/>
  <c r="G10" i="7" s="1"/>
  <c r="F18" i="12" s="1"/>
  <c r="J43" i="1"/>
  <c r="F10" i="7" s="1"/>
  <c r="E18" i="12" s="1"/>
  <c r="F43" i="1"/>
  <c r="E10" i="7" s="1"/>
  <c r="D18" i="12" s="1"/>
  <c r="A56" i="6" l="1"/>
  <c r="C57" i="19" s="1"/>
  <c r="J18" i="12"/>
  <c r="I18" i="12"/>
  <c r="K18" i="12"/>
  <c r="G32" i="19"/>
  <c r="G15" i="12"/>
  <c r="F32" i="19"/>
  <c r="F15" i="12"/>
  <c r="K15" i="12" s="1"/>
  <c r="E32" i="19"/>
  <c r="E15" i="12"/>
  <c r="D32" i="19"/>
  <c r="D15" i="12"/>
  <c r="H14" i="7"/>
  <c r="G12" i="19"/>
  <c r="D14" i="7"/>
  <c r="C12" i="19"/>
  <c r="G14" i="7"/>
  <c r="F12" i="19"/>
  <c r="E14" i="7"/>
  <c r="F14" i="7"/>
  <c r="J13" i="11"/>
  <c r="H5" i="7"/>
  <c r="G5" i="7"/>
  <c r="H6" i="7" s="1"/>
  <c r="F5" i="7"/>
  <c r="G6" i="7" s="1"/>
  <c r="E5" i="7"/>
  <c r="F6" i="7" s="1"/>
  <c r="D5" i="7"/>
  <c r="E6" i="7" s="1"/>
  <c r="K6" i="6"/>
  <c r="K5" i="6"/>
  <c r="L6" i="6" s="1"/>
  <c r="L5" i="6"/>
  <c r="F6" i="5"/>
  <c r="J6" i="5"/>
  <c r="K6" i="5"/>
  <c r="L6" i="5"/>
  <c r="L83" i="5"/>
  <c r="G16" i="19" s="1"/>
  <c r="F83" i="5"/>
  <c r="D16" i="19" s="1"/>
  <c r="L40" i="5"/>
  <c r="D40" i="5"/>
  <c r="K40" i="5"/>
  <c r="J83" i="5"/>
  <c r="E16" i="19" s="1"/>
  <c r="K83" i="5"/>
  <c r="F16" i="19" s="1"/>
  <c r="F40" i="5"/>
  <c r="J40" i="5"/>
  <c r="C10" i="19" l="1"/>
  <c r="D87" i="5"/>
  <c r="E9" i="7"/>
  <c r="D16" i="12" s="1"/>
  <c r="I15" i="12"/>
  <c r="O15" i="12" s="1"/>
  <c r="O18" i="12"/>
  <c r="M18" i="12"/>
  <c r="P18" i="12"/>
  <c r="G10" i="19"/>
  <c r="H9" i="7"/>
  <c r="G16" i="12" s="1"/>
  <c r="E10" i="19"/>
  <c r="F9" i="7"/>
  <c r="E16" i="12" s="1"/>
  <c r="F10" i="19"/>
  <c r="G9" i="7"/>
  <c r="F16" i="12" s="1"/>
  <c r="E33" i="19"/>
  <c r="F33" i="19"/>
  <c r="J15" i="12"/>
  <c r="D10" i="19"/>
  <c r="E87" i="5"/>
  <c r="G33" i="19"/>
  <c r="C32" i="19"/>
  <c r="E45" i="1"/>
  <c r="F11" i="7"/>
  <c r="G12" i="7"/>
  <c r="D11" i="7"/>
  <c r="J6" i="6"/>
  <c r="H6" i="6"/>
  <c r="G6" i="6"/>
  <c r="I6" i="6"/>
  <c r="L45" i="1"/>
  <c r="K45" i="1"/>
  <c r="J45" i="1"/>
  <c r="I45" i="1"/>
  <c r="H45" i="1"/>
  <c r="G45" i="1"/>
  <c r="F45" i="1"/>
  <c r="G11" i="7"/>
  <c r="E11" i="7"/>
  <c r="H11" i="7"/>
  <c r="E13" i="7"/>
  <c r="H13" i="7"/>
  <c r="E12" i="7"/>
  <c r="G13" i="7"/>
  <c r="K85" i="5"/>
  <c r="K87" i="5" s="1"/>
  <c r="F13" i="7"/>
  <c r="F12" i="7"/>
  <c r="D12" i="7"/>
  <c r="D13" i="7"/>
  <c r="H12" i="7"/>
  <c r="J85" i="5"/>
  <c r="J87" i="5" s="1"/>
  <c r="F85" i="5"/>
  <c r="F87" i="5" s="1"/>
  <c r="L85" i="5"/>
  <c r="L87" i="5" s="1"/>
  <c r="B37" i="11"/>
  <c r="D6" i="7"/>
  <c r="F6" i="6"/>
  <c r="D6" i="6"/>
  <c r="D6" i="5"/>
  <c r="A87" i="5" l="1"/>
  <c r="P15" i="12"/>
  <c r="M15" i="12"/>
  <c r="R15" i="12" s="1"/>
  <c r="R18" i="12"/>
  <c r="S18" i="12"/>
  <c r="K16" i="12"/>
  <c r="J16" i="12"/>
  <c r="I16" i="12"/>
  <c r="O16" i="12" s="1"/>
  <c r="S15" i="12"/>
  <c r="C33" i="19"/>
  <c r="D33" i="19"/>
  <c r="C56" i="19"/>
  <c r="A45" i="1"/>
  <c r="C55" i="19" s="1"/>
  <c r="P16" i="12" l="1"/>
  <c r="M16" i="12"/>
  <c r="R16" i="12" s="1"/>
  <c r="I38" i="9"/>
  <c r="J38" i="9" s="1"/>
  <c r="S16" i="12" l="1"/>
  <c r="I42" i="9"/>
  <c r="J42" i="9" s="1"/>
  <c r="E32" i="11" l="1"/>
  <c r="D37" i="19" l="1"/>
  <c r="H32" i="11"/>
  <c r="I30" i="11"/>
  <c r="J30" i="11" s="1"/>
  <c r="G32" i="11"/>
  <c r="G37" i="19" l="1"/>
  <c r="F37" i="19"/>
  <c r="C32" i="11"/>
  <c r="F32" i="11"/>
  <c r="E37" i="19" s="1"/>
  <c r="I32" i="11" l="1"/>
</calcChain>
</file>

<file path=xl/sharedStrings.xml><?xml version="1.0" encoding="utf-8"?>
<sst xmlns="http://schemas.openxmlformats.org/spreadsheetml/2006/main" count="515" uniqueCount="350">
  <si>
    <t>EUR</t>
  </si>
  <si>
    <t>Rendimentos e Gastos</t>
  </si>
  <si>
    <t>Notas</t>
  </si>
  <si>
    <t>Vendas</t>
  </si>
  <si>
    <t>Rendimentos/Gastos imputados de entidades controladas, associadas e empreendimentos conjuntos</t>
  </si>
  <si>
    <t>Variação de inventários da produção</t>
  </si>
  <si>
    <t>Trabalhos para a própria entidade</t>
  </si>
  <si>
    <t>Custo das mercadorias vendidas e das matérias consumidas</t>
  </si>
  <si>
    <t>Fornecimentos e serviços externos</t>
  </si>
  <si>
    <t>Gastos com pessoal</t>
  </si>
  <si>
    <t>Transferências e subsídios concedidos</t>
  </si>
  <si>
    <t>Prestações sociais</t>
  </si>
  <si>
    <t>Imparidades de inventários (perdas/reversões)</t>
  </si>
  <si>
    <t>Imparidade de dívidas a receber (perdas/reversões)</t>
  </si>
  <si>
    <t>Provisões (aumentos/reduções)</t>
  </si>
  <si>
    <t>Imparidade de investimentos não depreciáveis / amortizáveis (perdas/reversões)</t>
  </si>
  <si>
    <t>Aumentos / reduções de justo valor</t>
  </si>
  <si>
    <t>Gastos / reversões de depreciação e amortização</t>
  </si>
  <si>
    <t>Imparidade de investimentos depreciáveis/amortizáveis (perdas/reversões)</t>
  </si>
  <si>
    <t>Juros e rendimentos similares obtidos</t>
  </si>
  <si>
    <t>Juros e gastos similares suportados</t>
  </si>
  <si>
    <t>Resultado antes de impostos</t>
  </si>
  <si>
    <t>Imposto sobre o rendimento</t>
  </si>
  <si>
    <t>Resultado líquido do período</t>
  </si>
  <si>
    <t>DEMONSTRAÇÃO INDIVIDUAL DOS RESULTADOS POR NATUREZAS</t>
  </si>
  <si>
    <t>Instruções:</t>
  </si>
  <si>
    <t>Plano de atividade e orçamento (PAO)</t>
  </si>
  <si>
    <t>BALANÇO</t>
  </si>
  <si>
    <t>Rubricas</t>
  </si>
  <si>
    <t xml:space="preserve">A T I V O </t>
  </si>
  <si>
    <t xml:space="preserve"> Ativo não corrente</t>
  </si>
  <si>
    <t>Ativos fixos tangíveis</t>
  </si>
  <si>
    <t xml:space="preserve">  </t>
  </si>
  <si>
    <t>Propriedades de Investimento</t>
  </si>
  <si>
    <t xml:space="preserve"> </t>
  </si>
  <si>
    <t>Ativos intangíveis</t>
  </si>
  <si>
    <t>Ativos biológicos</t>
  </si>
  <si>
    <t>Participações financeiras</t>
  </si>
  <si>
    <t>Devedores por empréstimos bonificados e subsídios reembolsáveis</t>
  </si>
  <si>
    <t>Clientes, contribuintes e utentes</t>
  </si>
  <si>
    <t>Diferimentos</t>
  </si>
  <si>
    <t>Outros ativos financeiros</t>
  </si>
  <si>
    <t>Outras contas a receber</t>
  </si>
  <si>
    <t>Subtotal</t>
  </si>
  <si>
    <t xml:space="preserve"> Ativo corrente</t>
  </si>
  <si>
    <t>Inventários</t>
  </si>
  <si>
    <t>Devedores por transferências e subsídios não reembolsáveis</t>
  </si>
  <si>
    <t>Estado e outros entes públicos</t>
  </si>
  <si>
    <t>Ativos financeiros detidos para negociação</t>
  </si>
  <si>
    <t>Caixa e depósitos</t>
  </si>
  <si>
    <t>Total do Ativo</t>
  </si>
  <si>
    <t>P A T R I M Ó N I O  L Í Q U I D O</t>
  </si>
  <si>
    <t>Património / Capital</t>
  </si>
  <si>
    <t>Outros instrumentos de capital próprio</t>
  </si>
  <si>
    <t>Prémios de emissão</t>
  </si>
  <si>
    <t>Reservas</t>
  </si>
  <si>
    <t>Resultados transitados</t>
  </si>
  <si>
    <t>Ajustamentos em ativos financeiros</t>
  </si>
  <si>
    <t>Excedentes de revalorização</t>
  </si>
  <si>
    <t>Outras variações no Património Líquido</t>
  </si>
  <si>
    <t>Interesses que não controlam</t>
  </si>
  <si>
    <t>Total do Património Líquido</t>
  </si>
  <si>
    <t>P A S S I V O</t>
  </si>
  <si>
    <t xml:space="preserve">  Passivo não corrente</t>
  </si>
  <si>
    <t>Provisões</t>
  </si>
  <si>
    <t>Financiamentos obtidos</t>
  </si>
  <si>
    <t>Fornecedores de investimentos</t>
  </si>
  <si>
    <t>Fornecedores</t>
  </si>
  <si>
    <t>Responsabilidade por benefícios pós-emprego</t>
  </si>
  <si>
    <t>Outras contas a pagar</t>
  </si>
  <si>
    <t xml:space="preserve">  Passivo corrente</t>
  </si>
  <si>
    <t>Credores por transferências e subsídios concedidos</t>
  </si>
  <si>
    <t>Adiantamentos de clientes, contribuintes e utentes</t>
  </si>
  <si>
    <t>Passivos financeiros detidos para negociação</t>
  </si>
  <si>
    <t>Outros passivos financeiros</t>
  </si>
  <si>
    <t>Total do Passivo</t>
  </si>
  <si>
    <t>Total do Património Líquido e Passivo</t>
  </si>
  <si>
    <t>RUBRICAS</t>
  </si>
  <si>
    <t>Fluxos de caixa de atividades operacionais</t>
  </si>
  <si>
    <t>Recebimentos de clientes</t>
  </si>
  <si>
    <t>Recebimentos de contribuintes</t>
  </si>
  <si>
    <t>Recebimentos de utentes</t>
  </si>
  <si>
    <t>Pagamentos a fornecedores</t>
  </si>
  <si>
    <t>Pagamentos ao pessoal</t>
  </si>
  <si>
    <t>Caixa gerada pelas operações</t>
  </si>
  <si>
    <t>Outros recebimentos/pagamentos</t>
  </si>
  <si>
    <t>Fluxos de caixa das atividades operacionais (a)</t>
  </si>
  <si>
    <t>Fluxos de caixa das atividades de investimento</t>
  </si>
  <si>
    <t>Pagamentos respeitantes a:</t>
  </si>
  <si>
    <t xml:space="preserve">   Ativos fixos tangíveis</t>
  </si>
  <si>
    <t xml:space="preserve">   Ativos intangíveis</t>
  </si>
  <si>
    <t xml:space="preserve">   Propriedades de investimento</t>
  </si>
  <si>
    <t xml:space="preserve">   Investimentos financeiros</t>
  </si>
  <si>
    <t xml:space="preserve">   Outros Ativos</t>
  </si>
  <si>
    <t>Recebimentos provenientes de:</t>
  </si>
  <si>
    <t xml:space="preserve">   Subsídios ao investimento</t>
  </si>
  <si>
    <t xml:space="preserve">   Transferências de capital</t>
  </si>
  <si>
    <t xml:space="preserve">   Juros e rendimentos similares</t>
  </si>
  <si>
    <t xml:space="preserve">   Dividendos</t>
  </si>
  <si>
    <t>Fluxos de caixa das atividades de investimento (b)</t>
  </si>
  <si>
    <t>Fluxos de caixa das atividades de financiamento</t>
  </si>
  <si>
    <t xml:space="preserve">   Financiamentos obtidos</t>
  </si>
  <si>
    <t xml:space="preserve">   Realizações de capital e de outros instrumentos de capital</t>
  </si>
  <si>
    <t xml:space="preserve">   Cobertura de prejuízos</t>
  </si>
  <si>
    <t xml:space="preserve">   Doações</t>
  </si>
  <si>
    <t xml:space="preserve">   Outras operações de financiamento</t>
  </si>
  <si>
    <t xml:space="preserve">   Juros e gastos similares</t>
  </si>
  <si>
    <t xml:space="preserve">   Reduções de capital e outros instrumentos de capital</t>
  </si>
  <si>
    <t>Fluxos de caixa de atividades de financiamento (c)</t>
  </si>
  <si>
    <t>Variação de caixa e seus equivalentes (a + b + c)</t>
  </si>
  <si>
    <t>Caixa e seus equivalentes no início do período</t>
  </si>
  <si>
    <t>Caixa e seus equivalentes no fim do período</t>
  </si>
  <si>
    <t>Impostos e taxas</t>
  </si>
  <si>
    <t>Prestações de serviços</t>
  </si>
  <si>
    <t>Transferências e subsídios correntes à exploração obtidos</t>
  </si>
  <si>
    <t>Outros rendimentos e ganhos</t>
  </si>
  <si>
    <t>Outros gastos e perdas</t>
  </si>
  <si>
    <t>Valor</t>
  </si>
  <si>
    <t>%</t>
  </si>
  <si>
    <t>Rácios Financeiros</t>
  </si>
  <si>
    <t>CMVMC</t>
  </si>
  <si>
    <t>FSE</t>
  </si>
  <si>
    <t>Gastos operacionais (GO)</t>
  </si>
  <si>
    <t>TOTAL</t>
  </si>
  <si>
    <t>Gastos com cargos de direção</t>
  </si>
  <si>
    <t>Remuneração do pessoal</t>
  </si>
  <si>
    <t>(-) Cumprimento de disposições legais</t>
  </si>
  <si>
    <t>(-) Valorizações remuneratórias obrigatórias</t>
  </si>
  <si>
    <t>(+) Absentismo</t>
  </si>
  <si>
    <t>Deslocações e alojamento</t>
  </si>
  <si>
    <t>Ajudas de custo</t>
  </si>
  <si>
    <t>Associados à frota automóvel</t>
  </si>
  <si>
    <t>Contratação de estudos, pareceres, projetos e consultoria</t>
  </si>
  <si>
    <t>Formúla</t>
  </si>
  <si>
    <t>EBITDA/Volume de Negócio</t>
  </si>
  <si>
    <t>Passivo/Ativo</t>
  </si>
  <si>
    <t>Rentabilidade das vendas</t>
  </si>
  <si>
    <t>Rentabilidade do Ativo</t>
  </si>
  <si>
    <t>Rentabilidade do Capital próprio</t>
  </si>
  <si>
    <t>Endividamento Corrente</t>
  </si>
  <si>
    <t>Autonomia financeira</t>
  </si>
  <si>
    <t>Liquidez Geral</t>
  </si>
  <si>
    <t>Passivo Corrente/Ativo</t>
  </si>
  <si>
    <t>Capital Próprio/Ativo</t>
  </si>
  <si>
    <t>Ativo Corrente/Passivo Corrente</t>
  </si>
  <si>
    <t>Ano 0</t>
  </si>
  <si>
    <t>Eficiência operacional</t>
  </si>
  <si>
    <t>Unidade</t>
  </si>
  <si>
    <t>Impacto A</t>
  </si>
  <si>
    <t>Impacto …</t>
  </si>
  <si>
    <t>Prestações de Serviços</t>
  </si>
  <si>
    <t>Gastos Operacionais/Volume de Negócio (GO/VN)</t>
  </si>
  <si>
    <t>Pessoal</t>
  </si>
  <si>
    <t>Benefícios pós-emprego</t>
  </si>
  <si>
    <t>Restantes encargos</t>
  </si>
  <si>
    <t>Rescisões / Indemnizações</t>
  </si>
  <si>
    <t>Indemnizações Compensatórias (conforme Contrato Serv. Público)</t>
  </si>
  <si>
    <t>* Se aplicável: Os impactos/gastos excecionais devem ser justificados em sede de PAO e devidamente discrimidados</t>
  </si>
  <si>
    <t xml:space="preserve">** Se aplicável: outros rendimentos que concorram para o VN, que devem ser justificados em sede de PAO </t>
  </si>
  <si>
    <t>Variação média anual do triénio</t>
  </si>
  <si>
    <t>Cumpre Triénio</t>
  </si>
  <si>
    <t>S</t>
  </si>
  <si>
    <t>N</t>
  </si>
  <si>
    <t>N/A</t>
  </si>
  <si>
    <t>Taxa de crescimento nominal PIB</t>
  </si>
  <si>
    <t>1. Desproteger folhas: posicionar-se na folha que pretende desproteger e posteriormente deve aceder ao Menu "Rever" e selecionar o Botão "desproteger folha". Após efetuar este passo terá acesso total à folha.</t>
  </si>
  <si>
    <t>Capital estatutário</t>
  </si>
  <si>
    <t>(-) Novos investimentos com expressão material</t>
  </si>
  <si>
    <t>Endividamento (fórmula)</t>
  </si>
  <si>
    <t>Dias</t>
  </si>
  <si>
    <t>Outros</t>
  </si>
  <si>
    <t>Prazo Médio de Pagamento</t>
  </si>
  <si>
    <t>Pagamentos em Atraso (Arrears)</t>
  </si>
  <si>
    <t>2. Pressupostos Macroeconómicos:</t>
  </si>
  <si>
    <t>Evoluções dos Preços</t>
  </si>
  <si>
    <t>PIB e componentes da despesa em termos reais*</t>
  </si>
  <si>
    <t>Notas:</t>
  </si>
  <si>
    <t>* Preços Constantes (2016)</t>
  </si>
  <si>
    <t>Validações</t>
  </si>
  <si>
    <t>Balanço</t>
  </si>
  <si>
    <t>APOIO:</t>
  </si>
  <si>
    <t>2. Ao efetuar o passo 1, passará a ter o domínio da folha desprotegida podendo alterar formúlas (se aplicável), alterar formatação condicionada ou inserir linhas.</t>
  </si>
  <si>
    <t>3. Se optar inserir linhas deverá ter alguns cuidados de forma a não comprometer os vários somatórios.
Exemplo: DR</t>
  </si>
  <si>
    <t>Grupo Profissional</t>
  </si>
  <si>
    <t>Saídas esperadas (reformas/outros)</t>
  </si>
  <si>
    <t>Trabalhadores ausentes por mobilidade/cedência/licença</t>
  </si>
  <si>
    <t>Entradas ao abrigo do … (normativo legal, despacho, etc.)</t>
  </si>
  <si>
    <t>Autorizações de recrutamento solicitadas</t>
  </si>
  <si>
    <t>(1)</t>
  </si>
  <si>
    <t>(2)</t>
  </si>
  <si>
    <t>(3)</t>
  </si>
  <si>
    <t>(4)</t>
  </si>
  <si>
    <t>(5)</t>
  </si>
  <si>
    <t>(6)</t>
  </si>
  <si>
    <t>(7) = (1) - (2) + (3) + (4) + (5) + (6)</t>
  </si>
  <si>
    <t>Cargos de direção (s/ OS)</t>
  </si>
  <si>
    <t>Órgãos Sociais (OS)</t>
  </si>
  <si>
    <t>Categoria 1 (*)</t>
  </si>
  <si>
    <t>Categoria 2 (*)</t>
  </si>
  <si>
    <t>… (*)</t>
  </si>
  <si>
    <t>Categoria n (*)</t>
  </si>
  <si>
    <t>Total</t>
  </si>
  <si>
    <t>Estrutura do Ficheiro</t>
  </si>
  <si>
    <t>Instruções</t>
  </si>
  <si>
    <t>Demonstração de Resultados</t>
  </si>
  <si>
    <t>Demonstração de Fluxos de Caixa</t>
  </si>
  <si>
    <t>Recursos Humanos</t>
  </si>
  <si>
    <t>PIB nominal</t>
  </si>
  <si>
    <t>Demonstrações financeiras</t>
  </si>
  <si>
    <t>Autorizações de recrutamento concedidas em 2023</t>
  </si>
  <si>
    <t>Substituição de saídas previstas ocorrer em 2024 (obriga a entrada para base de carreira)</t>
  </si>
  <si>
    <t>Substituição de saídas previstas ocorrer em 2026 (obriga a entrada para base de carreira)</t>
  </si>
  <si>
    <t>Substituição de saídas previstas ocorrer em 2025 (obriga a entrada para base de carreira)</t>
  </si>
  <si>
    <t>= '2024 - (2) + (4) + (5) + (6)</t>
  </si>
  <si>
    <t>= '2025 - (2) + (4) + (5) + (6)</t>
  </si>
  <si>
    <t>Idade média</t>
  </si>
  <si>
    <t># de trabalhadores com 60 ou mais anos</t>
  </si>
  <si>
    <t># de trabalhadores em idade de reforma</t>
  </si>
  <si>
    <t>(-) Gastos com órgãos sociais*</t>
  </si>
  <si>
    <t>Gastos com pessoal ajustados para efeitos de rácio</t>
  </si>
  <si>
    <t>Gastos com dirigentes / Gastos com pessoal ajustados</t>
  </si>
  <si>
    <t>Gastos com pessoal / Gastos com pessoal ajustados</t>
  </si>
  <si>
    <t>Gastos com OS / Gastos com pessoal ajustados</t>
  </si>
  <si>
    <t>Fornecimentos e serviços externos (1)</t>
  </si>
  <si>
    <t>Fornecimentos e serviços externos (2)</t>
  </si>
  <si>
    <t>Fornecimentos e serviços externos (3)</t>
  </si>
  <si>
    <t>Fornecimentos e serviços externos (...)</t>
  </si>
  <si>
    <t xml:space="preserve">Detalhe de Fornecimentos e serviços externos
</t>
  </si>
  <si>
    <t>Gastos operacionais ajustados</t>
  </si>
  <si>
    <t>Volume de Negócios ajustado</t>
  </si>
  <si>
    <t>Check</t>
  </si>
  <si>
    <t>Check Balanço</t>
  </si>
  <si>
    <t>Volume de negócios</t>
  </si>
  <si>
    <t>Check Demonstração de resultados</t>
  </si>
  <si>
    <t>Financiamento remunerado</t>
  </si>
  <si>
    <t>Investimentos</t>
  </si>
  <si>
    <t>Despesa Total</t>
  </si>
  <si>
    <t>Folhas</t>
  </si>
  <si>
    <t>Erros</t>
  </si>
  <si>
    <t>Demonstração de fluxos de caixa</t>
  </si>
  <si>
    <t>Acionistas / Sócios / Associados</t>
  </si>
  <si>
    <t>Ativos por impostos diferidos</t>
  </si>
  <si>
    <t>Ativos não correntes detidos para venda</t>
  </si>
  <si>
    <t>Ações (quotas) próprias</t>
  </si>
  <si>
    <t>Dividendos antecipados</t>
  </si>
  <si>
    <t>Passivos por impostos diferidos</t>
  </si>
  <si>
    <t>Investimento 1</t>
  </si>
  <si>
    <t>Investimento 2</t>
  </si>
  <si>
    <t>Financiamento A</t>
  </si>
  <si>
    <t>Financiamento B</t>
  </si>
  <si>
    <t>Financiamento C</t>
  </si>
  <si>
    <t>Investimento 3</t>
  </si>
  <si>
    <t>Total investimento</t>
  </si>
  <si>
    <t>Total financiamento</t>
  </si>
  <si>
    <t>Ativo (total)</t>
  </si>
  <si>
    <t>não corrent.</t>
  </si>
  <si>
    <t>corrente</t>
  </si>
  <si>
    <t>CP (total)</t>
  </si>
  <si>
    <t>Passivo (total)</t>
  </si>
  <si>
    <t>EBITDA</t>
  </si>
  <si>
    <t>EBIT</t>
  </si>
  <si>
    <t>(iii) Cumprimento de disposições legais</t>
  </si>
  <si>
    <t>Gastos totais com pessoal*</t>
  </si>
  <si>
    <t>Gastos com órgãos sociais**</t>
  </si>
  <si>
    <t>** Sobre a remuneração dos gestores incide a redução prevista no artigo 12.º da Lei n.º 12-A/2010, de 30 de junho.</t>
  </si>
  <si>
    <t>GO/VN</t>
  </si>
  <si>
    <t>Plano de investimentos</t>
  </si>
  <si>
    <t>* O detalhe dos gastos com pessoal deve ser preenchido com os respetivos encargos com a Segurança Social</t>
  </si>
  <si>
    <t>Resultado operacional líquido de provisões, imparidades e correções de justo valor</t>
  </si>
  <si>
    <t xml:space="preserve">Frota automóvel
</t>
  </si>
  <si>
    <t>Operacional - EUR</t>
  </si>
  <si>
    <t>Não operacional - EUR</t>
  </si>
  <si>
    <t>Operacional - n.º de viaturas</t>
  </si>
  <si>
    <t>Não operacional - n.º de viaturas</t>
  </si>
  <si>
    <t>Resultado líquido</t>
  </si>
  <si>
    <t>Volume de Negócios (incl. ICs)</t>
  </si>
  <si>
    <t>Gastos com Pessoal</t>
  </si>
  <si>
    <t>Demonstração de resultados</t>
  </si>
  <si>
    <t>VAL estimado (em €)</t>
  </si>
  <si>
    <t>Rentabilidade dos RH</t>
  </si>
  <si>
    <t>% de crescimento</t>
  </si>
  <si>
    <t>Fonte: GPEARI</t>
  </si>
  <si>
    <t>Resultado Operacional/n.º de trabalhadores</t>
  </si>
  <si>
    <t>Resultado antes de depreciações e gastos de financiamento (EBITDA)</t>
  </si>
  <si>
    <t>Resultado operacional (EBIT)</t>
  </si>
  <si>
    <t>Impactos decorrentes de obrigações legais*</t>
  </si>
  <si>
    <t>Impacto na receita decorrente de obrigações legais**</t>
  </si>
  <si>
    <t>Nota: Quando a natureza da empresa não permite aferir a eficiência operacional, deverá a empresa apresentar uma proposta de um indicador de eficiência operacional alternativo na proposta de PAO, o qual deve ser mantido, pelo menos, nos exercícios de 2025 e 2026, a autorizar expressamente pelos membros do Governo responsáveis pela área das finanças e pela área setorial</t>
  </si>
  <si>
    <t>Mapa RH</t>
  </si>
  <si>
    <t xml:space="preserve">Unid: </t>
  </si>
  <si>
    <t>Unidade:</t>
  </si>
  <si>
    <t>Nota: Identificar se se trata de investimento de substituição ou de expansão, e se está contingente na concretização de financiamentos (v.g., de candidaturas a fundos estruturais)</t>
  </si>
  <si>
    <t>ORIENTAÇÕES FINANCEIRAS PARA O TRIÉNIO</t>
  </si>
  <si>
    <t>Δ de endividamento (%)</t>
  </si>
  <si>
    <t>a) Volume de negócios</t>
  </si>
  <si>
    <t>c) Resultado líquido</t>
  </si>
  <si>
    <t>e) Rentabilidade dos RH</t>
  </si>
  <si>
    <t>d) Rentabilidade do Ativo (ROA)</t>
  </si>
  <si>
    <t>f) Rentabilidade do Capital Próprio (ROE)</t>
  </si>
  <si>
    <t>Passivo total</t>
  </si>
  <si>
    <t>Taxa de crescimento real PIB</t>
  </si>
  <si>
    <t>i) Volume de negócios (real)</t>
  </si>
  <si>
    <r>
      <t>h) Pagamentos em Atraso (</t>
    </r>
    <r>
      <rPr>
        <i/>
        <sz val="8"/>
        <color theme="1"/>
        <rFont val="Verdana"/>
        <family val="2"/>
      </rPr>
      <t>Arrears</t>
    </r>
    <r>
      <rPr>
        <sz val="8"/>
        <color theme="1"/>
        <rFont val="Verdana"/>
        <family val="2"/>
      </rPr>
      <t>)</t>
    </r>
  </si>
  <si>
    <t>Informação adicional</t>
  </si>
  <si>
    <t>N.º de doentes ou atos médicos</t>
  </si>
  <si>
    <t>Resultado Líquido/Capital Próprio médio</t>
  </si>
  <si>
    <t>Resultado Operacional/Ativo médio</t>
  </si>
  <si>
    <t>ii) Gastos operacionais (%)</t>
  </si>
  <si>
    <t>OTIMIZAÇÃO DE GASTOS</t>
  </si>
  <si>
    <t>(ii) Gastos com as contratações previstas em anos subsequentes</t>
  </si>
  <si>
    <t>(iv) Orientações expressas do acionista Estado</t>
  </si>
  <si>
    <t>(v) Valorizações remuneratórias obrigatórias</t>
  </si>
  <si>
    <t>(vi) Outras valorizações remuneratórias</t>
  </si>
  <si>
    <t>b) EBIT, líq. de provisões, imparidades e correções de justo valor</t>
  </si>
  <si>
    <t>(vii) Rescisões por mútuo acordo</t>
  </si>
  <si>
    <t>(-) Rescisões contratuais excluindo por mútuo acordo</t>
  </si>
  <si>
    <t>Cumprimento</t>
  </si>
  <si>
    <t>Resumo</t>
  </si>
  <si>
    <t>1. Parâmetros: Preencher descrição da Empresa</t>
  </si>
  <si>
    <t>População residente (ULS)</t>
  </si>
  <si>
    <t>Correções para efeitos de rácio</t>
  </si>
  <si>
    <t xml:space="preserve">  3.  Nas folhas de cálculo com separadores cor laranja e azul: Preencher as células a cor amarelo. O preenchimento destas células irá preencher de forma automática os dados nps restantes separadores</t>
  </si>
  <si>
    <t xml:space="preserve">  4.  Nas folhas de cálculo com separadores cor ver: Se necessário preencher as células a cor amarelo</t>
  </si>
  <si>
    <t xml:space="preserve">  5. As restantes folhas aparecem preenchidas com alertas que podem ajudar na elaboração do PAO</t>
  </si>
  <si>
    <t xml:space="preserve">  6. Caso seja necessário introduzir linhas e/ou alterar formúlas deve seguir os passos do ponto seguinte "APOIO"</t>
  </si>
  <si>
    <t>1.º Pretendo introduzir uma nova rubrica no Ativo corrente. Devo selecionar a última célula do ativo Corrente, neste exemplo "Caixa e depósitos"</t>
  </si>
  <si>
    <t>2.º Seleccionar o botão direito do rato e posteriormente selecione o comando "Inserir". Após aberturas das oções selecionar inserir linha.</t>
  </si>
  <si>
    <t>3.º Seleccionar o botão direito do rato e posteriormente selecione o comando "Inserir". Após aberturas das oções selecionar inserir linha.</t>
  </si>
  <si>
    <t>Cumpre 1.º ano</t>
  </si>
  <si>
    <t>N.º Total de Trabalhadores</t>
  </si>
  <si>
    <t>N.º de membros dos órgãos sociais</t>
  </si>
  <si>
    <t>N.º de membros cargos de direção</t>
  </si>
  <si>
    <t>N.º dos restantes trabalhadores</t>
  </si>
  <si>
    <t>Endividamento, Prazo Médio de Pagamento, Pagamentos em Atraso, FSE</t>
  </si>
  <si>
    <t>Quadro Resumo</t>
  </si>
  <si>
    <t>IEPAO</t>
  </si>
  <si>
    <t>Gastos operacionais (corrigido do IHPC)</t>
  </si>
  <si>
    <t>result.trans.</t>
  </si>
  <si>
    <t>FSE + CMVMC</t>
  </si>
  <si>
    <t>g) Financiamento líquido de novos investimentos</t>
  </si>
  <si>
    <t>Taxa de crescimento IHPC</t>
  </si>
  <si>
    <t>Consumo Privado</t>
  </si>
  <si>
    <t>Consumo Público</t>
  </si>
  <si>
    <t>Investimento</t>
  </si>
  <si>
    <t>Exportações de Bens e Serviços</t>
  </si>
  <si>
    <t>Importações de Bens e Serviços</t>
  </si>
  <si>
    <t>IHPC</t>
  </si>
  <si>
    <t>DEMONSTRAÇÃO DOS FLUXOS DE CAIXA</t>
  </si>
  <si>
    <t>PLANO DE INVESTIMENTOS</t>
  </si>
  <si>
    <t>PIB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</si>
</sst>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_(&quot;€&quot;* #,##0.00_);_(&quot;€&quot;* \(#,##0.00\);_(&quot;€&quot;* &quot;-&quot;??_);_(@_)"/>
    <numFmt numFmtId="166" formatCode="#,##0.00\ &quot;€&quot;"/>
    <numFmt numFmtId="167" formatCode="0.0%"/>
    <numFmt numFmtId="168" formatCode="#,##0.0"/>
    <numFmt numFmtId="169" formatCode="\+0%;\-0%;0%"/>
    <numFmt numFmtId="170" formatCode="0.0"/>
    <numFmt numFmtId="171" formatCode="_-* #,##0_-;\-* #,##0_-;_-* &quot;-&quot;??_-;_-@_-"/>
    <numFmt numFmtId="172" formatCode="_-* #,##0\ &quot;€&quot;_-;\-* #,##0\ &quot;€&quot;_-;_-* &quot;-&quot;??\ &quot;€&quot;_-;_-@_-"/>
    <numFmt numFmtId="173" formatCode="#,##0\ &quot;€&quot;"/>
    <numFmt numFmtId="174" formatCode="0\,0&quot; p.p.&quot;"/>
    <numFmt numFmtId="175" formatCode="_-* #,##0&quot;x&quot;_-;\-* #,##0&quot;x&quot;_-;_-* &quot;-&quot;_-;_-@_-"/>
  </numFmts>
  <fonts count="6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.25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8"/>
      <name val="Microsoft Sans Serif"/>
      <family val="2"/>
    </font>
    <font>
      <sz val="10"/>
      <name val="Verdana"/>
      <family val="2"/>
    </font>
    <font>
      <sz val="10"/>
      <color indexed="23"/>
      <name val="Verdana"/>
      <family val="2"/>
    </font>
    <font>
      <sz val="8"/>
      <color indexed="23"/>
      <name val="Verdana"/>
      <family val="2"/>
    </font>
    <font>
      <sz val="14"/>
      <color theme="0"/>
      <name val="Century Gothic"/>
      <family val="2"/>
    </font>
    <font>
      <sz val="8"/>
      <color indexed="63"/>
      <name val="Verdana"/>
      <family val="2"/>
    </font>
    <font>
      <sz val="12"/>
      <color theme="0"/>
      <name val="Century Gothic"/>
      <family val="2"/>
    </font>
    <font>
      <b/>
      <sz val="8"/>
      <name val="Verdana"/>
      <family val="2"/>
    </font>
    <font>
      <b/>
      <sz val="8"/>
      <color theme="1"/>
      <name val="Verdana"/>
      <family val="2"/>
    </font>
    <font>
      <sz val="8"/>
      <name val="Verdana"/>
      <family val="2"/>
    </font>
    <font>
      <sz val="8"/>
      <color theme="1"/>
      <name val="Verdana"/>
      <family val="2"/>
    </font>
    <font>
      <sz val="8.25"/>
      <name val="Verdana"/>
      <family val="2"/>
    </font>
    <font>
      <sz val="11"/>
      <color theme="1"/>
      <name val="Verdana"/>
      <family val="2"/>
    </font>
    <font>
      <sz val="10"/>
      <color indexed="9"/>
      <name val="Century Gothic"/>
      <family val="2"/>
    </font>
    <font>
      <b/>
      <sz val="8"/>
      <color theme="0"/>
      <name val="Verdana"/>
      <family val="2"/>
    </font>
    <font>
      <sz val="7"/>
      <color theme="0"/>
      <name val="Verdana"/>
      <family val="2"/>
    </font>
    <font>
      <sz val="8"/>
      <color theme="0"/>
      <name val="Century Gothic"/>
      <family val="2"/>
    </font>
    <font>
      <b/>
      <sz val="11"/>
      <color theme="1"/>
      <name val="Century Gothic"/>
      <family val="2"/>
    </font>
    <font>
      <b/>
      <sz val="8"/>
      <name val="Calibri"/>
      <family val="2"/>
      <scheme val="minor"/>
    </font>
    <font>
      <sz val="7"/>
      <color theme="1"/>
      <name val="Century Gothic"/>
      <family val="2"/>
    </font>
    <font>
      <sz val="8.25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0"/>
      <name val="Calibri"/>
      <family val="2"/>
    </font>
    <font>
      <b/>
      <sz val="10"/>
      <color rgb="FF000000"/>
      <name val="Calibri"/>
      <family val="2"/>
    </font>
    <font>
      <i/>
      <sz val="9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theme="0" tint="-0.499984740745262"/>
      <name val="Calibri"/>
      <family val="2"/>
    </font>
    <font>
      <i/>
      <sz val="9"/>
      <color rgb="FF000000"/>
      <name val="Calibri"/>
      <family val="2"/>
    </font>
    <font>
      <sz val="11"/>
      <name val="Calibri"/>
      <family val="2"/>
      <scheme val="minor"/>
    </font>
    <font>
      <sz val="7"/>
      <color rgb="FF000000"/>
      <name val="Verdana"/>
      <family val="2"/>
    </font>
    <font>
      <sz val="7"/>
      <color rgb="FF000000"/>
      <name val="Calibri"/>
      <family val="2"/>
    </font>
    <font>
      <b/>
      <sz val="6"/>
      <color theme="0"/>
      <name val="Verdana"/>
      <family val="2"/>
    </font>
    <font>
      <sz val="7"/>
      <color theme="0"/>
      <name val="Century Gothic"/>
      <family val="2"/>
    </font>
    <font>
      <sz val="9"/>
      <color theme="1"/>
      <name val="Verdana"/>
      <family val="2"/>
    </font>
    <font>
      <sz val="9"/>
      <name val="Verdana"/>
      <family val="2"/>
    </font>
    <font>
      <sz val="5"/>
      <color theme="1"/>
      <name val="Verdana"/>
      <family val="2"/>
    </font>
    <font>
      <sz val="7"/>
      <name val="Verdana"/>
      <family val="2"/>
    </font>
    <font>
      <sz val="7"/>
      <color theme="1"/>
      <name val="Verdana"/>
      <family val="2"/>
    </font>
    <font>
      <sz val="10"/>
      <color theme="1"/>
      <name val="Verdana"/>
      <family val="2"/>
    </font>
    <font>
      <sz val="9"/>
      <color theme="0"/>
      <name val="Century Gothic"/>
      <family val="2"/>
    </font>
    <font>
      <sz val="10"/>
      <name val="Arial"/>
      <family val="2"/>
    </font>
    <font>
      <sz val="11"/>
      <color theme="0"/>
      <name val="Century Gothic"/>
      <family val="2"/>
    </font>
    <font>
      <sz val="8"/>
      <color rgb="FFFF0000"/>
      <name val="Verdana"/>
      <family val="2"/>
    </font>
    <font>
      <sz val="8"/>
      <color theme="1"/>
      <name val="Calibri"/>
      <family val="2"/>
      <scheme val="minor"/>
    </font>
    <font>
      <sz val="8"/>
      <color rgb="FFFF0000"/>
      <name val="Microsoft Sans Serif"/>
      <family val="2"/>
    </font>
    <font>
      <b/>
      <sz val="8"/>
      <color theme="0"/>
      <name val="Century Gothic"/>
      <family val="2"/>
    </font>
    <font>
      <sz val="11"/>
      <name val="Verdana"/>
      <family val="2"/>
    </font>
    <font>
      <sz val="11"/>
      <color indexed="9"/>
      <name val="Century Gothic"/>
      <family val="2"/>
    </font>
    <font>
      <b/>
      <sz val="9"/>
      <name val="Verdana"/>
      <family val="2"/>
    </font>
    <font>
      <sz val="8"/>
      <color rgb="FFFF0000"/>
      <name val="Calibri"/>
      <family val="2"/>
      <scheme val="minor"/>
    </font>
    <font>
      <sz val="8"/>
      <color theme="1"/>
      <name val="Arial"/>
      <family val="2"/>
    </font>
    <font>
      <u/>
      <sz val="10"/>
      <name val="Verdana"/>
      <family val="2"/>
    </font>
    <font>
      <i/>
      <sz val="8"/>
      <name val="Verdana"/>
      <family val="2"/>
    </font>
    <font>
      <i/>
      <sz val="8"/>
      <color theme="1"/>
      <name val="Verdana"/>
      <family val="2"/>
    </font>
    <font>
      <sz val="8"/>
      <color theme="0"/>
      <name val="Calibri"/>
      <family val="2"/>
      <scheme val="minor"/>
    </font>
    <font>
      <b/>
      <sz val="11"/>
      <color rgb="FF000000"/>
      <name val="Century Gothic"/>
      <family val="2"/>
    </font>
  </fonts>
  <fills count="16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  <fill>
      <patternFill patternType="solid">
        <fgColor indexed="22"/>
      </patternFill>
    </fill>
    <fill>
      <patternFill patternType="solid">
        <fgColor rgb="FF002060"/>
        <bgColor indexed="64"/>
      </patternFill>
    </fill>
    <fill>
      <patternFill patternType="solid">
        <fgColor rgb="FFE5EBF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76933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DC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hair">
        <color theme="4" tint="-0.499984740745262"/>
      </left>
      <right style="thin">
        <color theme="0"/>
      </right>
      <top style="hair">
        <color theme="4" tint="-0.499984740745262"/>
      </top>
      <bottom style="thin">
        <color theme="0"/>
      </bottom>
      <diagonal/>
    </border>
    <border>
      <left style="hair">
        <color theme="4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hair">
        <color theme="4" tint="-0.499984740745262"/>
      </right>
      <top style="thin">
        <color theme="0"/>
      </top>
      <bottom style="thin">
        <color theme="0"/>
      </bottom>
      <diagonal/>
    </border>
    <border>
      <left style="hair">
        <color theme="4" tint="-0.499984740745262"/>
      </left>
      <right/>
      <top/>
      <bottom/>
      <diagonal/>
    </border>
    <border>
      <left/>
      <right style="hair">
        <color theme="4" tint="-0.499984740745262"/>
      </right>
      <top/>
      <bottom/>
      <diagonal/>
    </border>
    <border>
      <left style="hair">
        <color theme="4" tint="-0.499984740745262"/>
      </left>
      <right style="thin">
        <color theme="0"/>
      </right>
      <top style="thin">
        <color theme="0"/>
      </top>
      <bottom style="hair">
        <color theme="4" tint="-0.49998474074526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hair">
        <color theme="4" tint="-0.499984740745262"/>
      </left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0691854609822"/>
      </left>
      <right/>
      <top style="thin">
        <color theme="0" tint="-0.14990691854609822"/>
      </top>
      <bottom/>
      <diagonal/>
    </border>
    <border>
      <left/>
      <right/>
      <top style="thin">
        <color theme="0" tint="-0.14990691854609822"/>
      </top>
      <bottom/>
      <diagonal/>
    </border>
    <border>
      <left/>
      <right style="thin">
        <color theme="0" tint="-0.14990691854609822"/>
      </right>
      <top style="thin">
        <color theme="0" tint="-0.14990691854609822"/>
      </top>
      <bottom/>
      <diagonal/>
    </border>
    <border>
      <left style="thin">
        <color theme="0" tint="-0.14990691854609822"/>
      </left>
      <right/>
      <top/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/>
      <top style="thin">
        <color theme="0" tint="-0.14993743705557422"/>
      </top>
      <bottom/>
      <diagonal/>
    </border>
    <border>
      <left/>
      <right style="thin">
        <color theme="0" tint="-0.14990691854609822"/>
      </right>
      <top style="thin">
        <color theme="0" tint="-0.14993743705557422"/>
      </top>
      <bottom/>
      <diagonal/>
    </border>
    <border>
      <left style="thin">
        <color theme="0" tint="-0.14990691854609822"/>
      </left>
      <right/>
      <top/>
      <bottom style="thin">
        <color theme="0" tint="-0.14990691854609822"/>
      </bottom>
      <diagonal/>
    </border>
    <border>
      <left/>
      <right/>
      <top/>
      <bottom style="thin">
        <color theme="0" tint="-0.14990691854609822"/>
      </bottom>
      <diagonal/>
    </border>
    <border>
      <left/>
      <right style="thin">
        <color theme="0" tint="-0.14990691854609822"/>
      </right>
      <top/>
      <bottom style="thin">
        <color theme="0" tint="-0.14990691854609822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hair">
        <color theme="4" tint="-0.499984740745262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hair">
        <color theme="4" tint="-0.499984740745262"/>
      </left>
      <right style="thin">
        <color theme="0"/>
      </right>
      <top/>
      <bottom style="thin">
        <color theme="0"/>
      </bottom>
      <diagonal/>
    </border>
    <border>
      <left style="hair">
        <color theme="4" tint="-0.499984740745262"/>
      </left>
      <right/>
      <top style="hair">
        <color theme="4" tint="-0.499984740745262"/>
      </top>
      <bottom style="thin">
        <color theme="0"/>
      </bottom>
      <diagonal/>
    </border>
    <border>
      <left style="hair">
        <color theme="4" tint="-0.499984740745262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hair">
        <color theme="4" tint="-0.499984740745262"/>
      </bottom>
      <diagonal/>
    </border>
    <border diagonalUp="1">
      <left/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 diagonalUp="1"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4" fillId="0" borderId="0">
      <protection locked="0"/>
    </xf>
    <xf numFmtId="0" fontId="4" fillId="0" borderId="0">
      <protection locked="0"/>
    </xf>
    <xf numFmtId="165" fontId="1" fillId="0" borderId="0" applyFont="0" applyFill="0" applyBorder="0" applyAlignment="0" applyProtection="0"/>
    <xf numFmtId="0" fontId="9" fillId="0" borderId="0"/>
    <xf numFmtId="0" fontId="1" fillId="0" borderId="0"/>
    <xf numFmtId="9" fontId="1" fillId="0" borderId="0" applyFont="0" applyFill="0" applyBorder="0" applyAlignment="0" applyProtection="0"/>
    <xf numFmtId="0" fontId="53" fillId="0" borderId="0"/>
    <xf numFmtId="0" fontId="53" fillId="0" borderId="0"/>
    <xf numFmtId="164" fontId="1" fillId="0" borderId="0" applyFont="0" applyFill="0" applyBorder="0" applyAlignment="0" applyProtection="0"/>
  </cellStyleXfs>
  <cellXfs count="494">
    <xf numFmtId="0" fontId="0" fillId="0" borderId="0" xfId="0"/>
    <xf numFmtId="0" fontId="5" fillId="0" borderId="0" xfId="0" applyFont="1"/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49" fontId="8" fillId="0" borderId="0" xfId="4" applyNumberFormat="1" applyFont="1" applyAlignment="1" applyProtection="1">
      <alignment vertical="top"/>
    </xf>
    <xf numFmtId="0" fontId="10" fillId="0" borderId="0" xfId="7" applyFont="1"/>
    <xf numFmtId="0" fontId="11" fillId="0" borderId="0" xfId="7" applyFont="1"/>
    <xf numFmtId="0" fontId="13" fillId="0" borderId="0" xfId="7" applyFont="1" applyAlignment="1">
      <alignment horizontal="left" vertical="top"/>
    </xf>
    <xf numFmtId="0" fontId="13" fillId="0" borderId="0" xfId="7" applyFont="1"/>
    <xf numFmtId="49" fontId="7" fillId="0" borderId="0" xfId="5" applyNumberFormat="1" applyFont="1" applyAlignment="1" applyProtection="1">
      <alignment horizontal="left" vertical="top"/>
    </xf>
    <xf numFmtId="0" fontId="22" fillId="8" borderId="2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/>
    </xf>
    <xf numFmtId="0" fontId="21" fillId="7" borderId="2" xfId="0" applyFont="1" applyFill="1" applyBorder="1" applyAlignment="1" applyProtection="1">
      <alignment horizontal="left" vertical="center" indent="1"/>
      <protection locked="0"/>
    </xf>
    <xf numFmtId="49" fontId="17" fillId="3" borderId="2" xfId="5" applyNumberFormat="1" applyFont="1" applyFill="1" applyBorder="1" applyAlignment="1" applyProtection="1">
      <alignment horizontal="left" vertical="top"/>
    </xf>
    <xf numFmtId="49" fontId="17" fillId="3" borderId="2" xfId="5" applyNumberFormat="1" applyFont="1" applyFill="1" applyBorder="1" applyAlignment="1" applyProtection="1">
      <alignment horizontal="right" vertical="top"/>
    </xf>
    <xf numFmtId="49" fontId="15" fillId="0" borderId="2" xfId="5" applyNumberFormat="1" applyFont="1" applyBorder="1" applyAlignment="1" applyProtection="1">
      <alignment horizontal="right" vertical="top"/>
    </xf>
    <xf numFmtId="0" fontId="20" fillId="0" borderId="2" xfId="0" applyFont="1" applyBorder="1" applyAlignment="1">
      <alignment wrapText="1"/>
    </xf>
    <xf numFmtId="49" fontId="17" fillId="0" borderId="2" xfId="5" applyNumberFormat="1" applyFont="1" applyBorder="1" applyAlignment="1" applyProtection="1">
      <alignment horizontal="right" vertical="top" wrapText="1"/>
    </xf>
    <xf numFmtId="49" fontId="17" fillId="3" borderId="2" xfId="5" applyNumberFormat="1" applyFont="1" applyFill="1" applyBorder="1" applyAlignment="1" applyProtection="1">
      <alignment horizontal="left" vertical="top" wrapText="1"/>
    </xf>
    <xf numFmtId="49" fontId="15" fillId="0" borderId="2" xfId="5" applyNumberFormat="1" applyFont="1" applyBorder="1" applyAlignment="1" applyProtection="1">
      <alignment horizontal="right" vertical="top" wrapText="1"/>
    </xf>
    <xf numFmtId="49" fontId="17" fillId="3" borderId="2" xfId="5" applyNumberFormat="1" applyFont="1" applyFill="1" applyBorder="1" applyAlignment="1" applyProtection="1">
      <alignment horizontal="right" vertical="center"/>
    </xf>
    <xf numFmtId="49" fontId="17" fillId="6" borderId="2" xfId="5" applyNumberFormat="1" applyFont="1" applyFill="1" applyBorder="1" applyAlignment="1" applyProtection="1">
      <alignment horizontal="left" vertical="top" wrapText="1"/>
    </xf>
    <xf numFmtId="49" fontId="19" fillId="6" borderId="2" xfId="5" applyNumberFormat="1" applyFont="1" applyFill="1" applyBorder="1" applyAlignment="1" applyProtection="1">
      <alignment horizontal="left" vertical="top" wrapText="1"/>
    </xf>
    <xf numFmtId="49" fontId="15" fillId="0" borderId="2" xfId="5" applyNumberFormat="1" applyFont="1" applyBorder="1" applyAlignment="1" applyProtection="1">
      <alignment horizontal="right" vertical="center"/>
    </xf>
    <xf numFmtId="0" fontId="25" fillId="0" borderId="0" xfId="0" applyFont="1" applyAlignment="1">
      <alignment horizontal="left" vertical="top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right"/>
    </xf>
    <xf numFmtId="49" fontId="28" fillId="0" borderId="0" xfId="4" applyNumberFormat="1" applyFont="1" applyAlignment="1" applyProtection="1">
      <alignment vertical="top"/>
    </xf>
    <xf numFmtId="49" fontId="26" fillId="0" borderId="0" xfId="4" applyNumberFormat="1" applyFont="1" applyAlignment="1" applyProtection="1">
      <alignment horizontal="right" vertical="top"/>
    </xf>
    <xf numFmtId="49" fontId="29" fillId="0" borderId="0" xfId="4" applyNumberFormat="1" applyFont="1" applyAlignment="1" applyProtection="1">
      <alignment horizontal="left" vertical="top"/>
    </xf>
    <xf numFmtId="49" fontId="29" fillId="0" borderId="0" xfId="4" applyNumberFormat="1" applyFont="1" applyAlignment="1" applyProtection="1">
      <alignment horizontal="center" vertical="top"/>
    </xf>
    <xf numFmtId="49" fontId="15" fillId="0" borderId="0" xfId="5" applyNumberFormat="1" applyFont="1" applyAlignment="1" applyProtection="1">
      <alignment horizontal="left" vertical="center" wrapText="1"/>
    </xf>
    <xf numFmtId="49" fontId="17" fillId="6" borderId="5" xfId="5" applyNumberFormat="1" applyFont="1" applyFill="1" applyBorder="1" applyAlignment="1" applyProtection="1">
      <alignment horizontal="left" vertical="top" wrapText="1"/>
    </xf>
    <xf numFmtId="49" fontId="15" fillId="0" borderId="0" xfId="5" applyNumberFormat="1" applyFont="1" applyAlignment="1" applyProtection="1">
      <alignment horizontal="right" vertical="center"/>
    </xf>
    <xf numFmtId="49" fontId="15" fillId="0" borderId="0" xfId="5" applyNumberFormat="1" applyFont="1" applyAlignment="1" applyProtection="1">
      <alignment horizontal="left" vertical="center"/>
    </xf>
    <xf numFmtId="0" fontId="0" fillId="0" borderId="0" xfId="0" applyAlignment="1">
      <alignment horizontal="left"/>
    </xf>
    <xf numFmtId="0" fontId="20" fillId="0" borderId="0" xfId="0" applyFont="1"/>
    <xf numFmtId="0" fontId="20" fillId="0" borderId="0" xfId="0" applyFont="1" applyAlignment="1">
      <alignment horizontal="left"/>
    </xf>
    <xf numFmtId="0" fontId="1" fillId="0" borderId="0" xfId="8"/>
    <xf numFmtId="49" fontId="1" fillId="0" borderId="0" xfId="8" applyNumberFormat="1"/>
    <xf numFmtId="0" fontId="36" fillId="0" borderId="0" xfId="8" applyFont="1" applyAlignment="1">
      <alignment horizontal="left" vertical="center" wrapText="1"/>
    </xf>
    <xf numFmtId="49" fontId="17" fillId="6" borderId="2" xfId="5" applyNumberFormat="1" applyFont="1" applyFill="1" applyBorder="1" applyAlignment="1" applyProtection="1">
      <alignment horizontal="left" vertical="center" wrapText="1"/>
    </xf>
    <xf numFmtId="0" fontId="12" fillId="11" borderId="0" xfId="7" applyFont="1" applyFill="1" applyAlignment="1">
      <alignment horizontal="left" vertical="center" indent="1"/>
    </xf>
    <xf numFmtId="49" fontId="17" fillId="3" borderId="2" xfId="5" applyNumberFormat="1" applyFont="1" applyFill="1" applyBorder="1" applyAlignment="1" applyProtection="1">
      <alignment horizontal="left" vertical="center" wrapText="1"/>
    </xf>
    <xf numFmtId="0" fontId="22" fillId="8" borderId="3" xfId="0" applyFont="1" applyFill="1" applyBorder="1" applyAlignment="1">
      <alignment horizontal="center" vertical="center"/>
    </xf>
    <xf numFmtId="0" fontId="23" fillId="8" borderId="3" xfId="0" applyFont="1" applyFill="1" applyBorder="1" applyAlignment="1">
      <alignment horizontal="center" vertical="center"/>
    </xf>
    <xf numFmtId="9" fontId="17" fillId="3" borderId="2" xfId="2" applyFont="1" applyFill="1" applyBorder="1" applyAlignment="1" applyProtection="1">
      <alignment horizontal="right" vertical="center"/>
    </xf>
    <xf numFmtId="0" fontId="23" fillId="4" borderId="2" xfId="0" applyFont="1" applyFill="1" applyBorder="1" applyAlignment="1">
      <alignment horizontal="center" vertical="center"/>
    </xf>
    <xf numFmtId="0" fontId="1" fillId="0" borderId="10" xfId="8" applyBorder="1"/>
    <xf numFmtId="3" fontId="17" fillId="3" borderId="2" xfId="5" applyNumberFormat="1" applyFont="1" applyFill="1" applyBorder="1" applyAlignment="1" applyProtection="1">
      <alignment horizontal="right" vertical="center"/>
    </xf>
    <xf numFmtId="3" fontId="17" fillId="3" borderId="3" xfId="5" applyNumberFormat="1" applyFont="1" applyFill="1" applyBorder="1" applyAlignment="1" applyProtection="1">
      <alignment horizontal="right" vertical="center"/>
    </xf>
    <xf numFmtId="0" fontId="21" fillId="7" borderId="2" xfId="0" applyFont="1" applyFill="1" applyBorder="1" applyAlignment="1">
      <alignment horizontal="left" vertical="center"/>
    </xf>
    <xf numFmtId="0" fontId="35" fillId="0" borderId="0" xfId="8" applyFont="1" applyAlignment="1" applyProtection="1">
      <alignment vertical="center"/>
      <protection locked="0"/>
    </xf>
    <xf numFmtId="0" fontId="1" fillId="0" borderId="0" xfId="8" applyProtection="1">
      <protection locked="0"/>
    </xf>
    <xf numFmtId="49" fontId="17" fillId="6" borderId="2" xfId="5" applyNumberFormat="1" applyFont="1" applyFill="1" applyBorder="1" applyAlignment="1">
      <alignment horizontal="left" vertical="top" wrapText="1"/>
      <protection locked="0"/>
    </xf>
    <xf numFmtId="49" fontId="1" fillId="0" borderId="0" xfId="8" applyNumberFormat="1" applyProtection="1">
      <protection locked="0"/>
    </xf>
    <xf numFmtId="167" fontId="33" fillId="0" borderId="0" xfId="2" applyNumberFormat="1" applyFont="1" applyAlignment="1">
      <alignment horizontal="center"/>
    </xf>
    <xf numFmtId="3" fontId="36" fillId="0" borderId="0" xfId="8" applyNumberFormat="1" applyFont="1" applyAlignment="1">
      <alignment horizontal="center" vertical="center" wrapText="1"/>
    </xf>
    <xf numFmtId="0" fontId="44" fillId="8" borderId="3" xfId="0" applyFont="1" applyFill="1" applyBorder="1" applyAlignment="1">
      <alignment horizontal="center" vertical="center"/>
    </xf>
    <xf numFmtId="3" fontId="17" fillId="6" borderId="2" xfId="5" applyNumberFormat="1" applyFont="1" applyFill="1" applyBorder="1" applyAlignment="1" applyProtection="1">
      <alignment horizontal="right" vertical="center" wrapText="1"/>
    </xf>
    <xf numFmtId="0" fontId="20" fillId="0" borderId="2" xfId="0" applyFont="1" applyBorder="1"/>
    <xf numFmtId="0" fontId="12" fillId="4" borderId="1" xfId="7" applyFont="1" applyFill="1" applyBorder="1" applyAlignment="1">
      <alignment horizontal="left" vertical="center" indent="1"/>
    </xf>
    <xf numFmtId="0" fontId="13" fillId="0" borderId="0" xfId="7" applyFont="1" applyAlignment="1">
      <alignment horizontal="left" vertical="top" wrapText="1"/>
    </xf>
    <xf numFmtId="0" fontId="0" fillId="0" borderId="0" xfId="0" applyProtection="1">
      <protection locked="0"/>
    </xf>
    <xf numFmtId="0" fontId="37" fillId="0" borderId="0" xfId="8" applyFont="1" applyAlignment="1">
      <alignment horizontal="right"/>
    </xf>
    <xf numFmtId="49" fontId="17" fillId="6" borderId="2" xfId="5" applyNumberFormat="1" applyFont="1" applyFill="1" applyBorder="1" applyAlignment="1" applyProtection="1">
      <alignment horizontal="left" vertical="top" wrapText="1" indent="3"/>
    </xf>
    <xf numFmtId="3" fontId="18" fillId="6" borderId="2" xfId="6" applyNumberFormat="1" applyFont="1" applyFill="1" applyBorder="1" applyAlignment="1" applyProtection="1">
      <alignment vertical="center"/>
    </xf>
    <xf numFmtId="3" fontId="18" fillId="6" borderId="3" xfId="6" applyNumberFormat="1" applyFont="1" applyFill="1" applyBorder="1" applyAlignment="1" applyProtection="1">
      <alignment vertical="center"/>
    </xf>
    <xf numFmtId="3" fontId="18" fillId="6" borderId="8" xfId="6" applyNumberFormat="1" applyFont="1" applyFill="1" applyBorder="1" applyAlignment="1" applyProtection="1">
      <alignment vertical="center"/>
    </xf>
    <xf numFmtId="3" fontId="18" fillId="6" borderId="9" xfId="6" applyNumberFormat="1" applyFont="1" applyFill="1" applyBorder="1" applyAlignment="1" applyProtection="1">
      <alignment vertical="center"/>
    </xf>
    <xf numFmtId="3" fontId="18" fillId="6" borderId="4" xfId="6" applyNumberFormat="1" applyFont="1" applyFill="1" applyBorder="1" applyAlignment="1" applyProtection="1">
      <alignment vertical="center"/>
    </xf>
    <xf numFmtId="3" fontId="18" fillId="6" borderId="2" xfId="2" applyNumberFormat="1" applyFont="1" applyFill="1" applyBorder="1" applyAlignment="1" applyProtection="1">
      <alignment vertical="center"/>
    </xf>
    <xf numFmtId="0" fontId="38" fillId="0" borderId="0" xfId="8" applyFont="1" applyAlignment="1">
      <alignment horizontal="left" vertical="center" wrapText="1" indent="4"/>
    </xf>
    <xf numFmtId="0" fontId="38" fillId="0" borderId="0" xfId="8" applyFont="1" applyAlignment="1">
      <alignment horizontal="left" vertical="center" wrapText="1" indent="1"/>
    </xf>
    <xf numFmtId="3" fontId="18" fillId="10" borderId="2" xfId="6" applyNumberFormat="1" applyFont="1" applyFill="1" applyBorder="1" applyAlignment="1" applyProtection="1">
      <alignment vertical="center"/>
    </xf>
    <xf numFmtId="0" fontId="38" fillId="0" borderId="0" xfId="8" applyFont="1" applyAlignment="1">
      <alignment horizontal="left" vertical="center" indent="2"/>
    </xf>
    <xf numFmtId="3" fontId="38" fillId="0" borderId="0" xfId="8" applyNumberFormat="1" applyFont="1" applyAlignment="1">
      <alignment horizontal="left" vertical="center" indent="2"/>
    </xf>
    <xf numFmtId="3" fontId="38" fillId="0" borderId="10" xfId="8" applyNumberFormat="1" applyFont="1" applyBorder="1" applyAlignment="1">
      <alignment horizontal="left" vertical="center" indent="2"/>
    </xf>
    <xf numFmtId="9" fontId="21" fillId="7" borderId="2" xfId="2" applyFont="1" applyFill="1" applyBorder="1" applyAlignment="1" applyProtection="1">
      <alignment horizontal="right" vertical="center" indent="1"/>
    </xf>
    <xf numFmtId="9" fontId="21" fillId="7" borderId="3" xfId="2" applyFont="1" applyFill="1" applyBorder="1" applyAlignment="1" applyProtection="1">
      <alignment horizontal="right" vertical="center" indent="1"/>
    </xf>
    <xf numFmtId="9" fontId="21" fillId="7" borderId="12" xfId="2" applyFont="1" applyFill="1" applyBorder="1" applyAlignment="1" applyProtection="1">
      <alignment horizontal="right" vertical="center" indent="1"/>
    </xf>
    <xf numFmtId="0" fontId="32" fillId="0" borderId="0" xfId="8" applyFont="1" applyAlignment="1">
      <alignment horizontal="center"/>
    </xf>
    <xf numFmtId="0" fontId="43" fillId="0" borderId="0" xfId="8" applyFont="1"/>
    <xf numFmtId="0" fontId="40" fillId="0" borderId="0" xfId="8" applyFont="1"/>
    <xf numFmtId="9" fontId="18" fillId="10" borderId="2" xfId="2" applyFont="1" applyFill="1" applyBorder="1" applyAlignment="1" applyProtection="1">
      <alignment vertical="center"/>
    </xf>
    <xf numFmtId="3" fontId="36" fillId="0" borderId="0" xfId="8" applyNumberFormat="1" applyFont="1" applyAlignment="1" applyProtection="1">
      <alignment horizontal="right" vertical="center" wrapText="1"/>
      <protection locked="0"/>
    </xf>
    <xf numFmtId="0" fontId="40" fillId="0" borderId="0" xfId="8" applyFont="1" applyAlignment="1">
      <alignment wrapText="1"/>
    </xf>
    <xf numFmtId="0" fontId="3" fillId="0" borderId="0" xfId="8" applyFont="1" applyAlignment="1">
      <alignment horizontal="center"/>
    </xf>
    <xf numFmtId="3" fontId="38" fillId="0" borderId="0" xfId="8" applyNumberFormat="1" applyFont="1" applyAlignment="1">
      <alignment horizontal="right" vertical="center" wrapText="1" indent="1"/>
    </xf>
    <xf numFmtId="3" fontId="38" fillId="0" borderId="0" xfId="8" applyNumberFormat="1" applyFont="1" applyAlignment="1">
      <alignment horizontal="right" vertical="center" wrapText="1"/>
    </xf>
    <xf numFmtId="9" fontId="38" fillId="0" borderId="0" xfId="2" applyFont="1" applyBorder="1" applyAlignment="1" applyProtection="1">
      <alignment horizontal="right" vertical="center" wrapText="1"/>
    </xf>
    <xf numFmtId="3" fontId="21" fillId="7" borderId="2" xfId="0" applyNumberFormat="1" applyFont="1" applyFill="1" applyBorder="1" applyAlignment="1">
      <alignment horizontal="right" vertical="center" indent="1"/>
    </xf>
    <xf numFmtId="3" fontId="21" fillId="7" borderId="4" xfId="2" applyNumberFormat="1" applyFont="1" applyFill="1" applyBorder="1" applyAlignment="1" applyProtection="1">
      <alignment horizontal="right" vertical="center" indent="1"/>
    </xf>
    <xf numFmtId="3" fontId="18" fillId="12" borderId="2" xfId="6" applyNumberFormat="1" applyFont="1" applyFill="1" applyBorder="1" applyAlignment="1" applyProtection="1">
      <alignment vertical="center"/>
      <protection locked="0"/>
    </xf>
    <xf numFmtId="3" fontId="40" fillId="0" borderId="0" xfId="8" applyNumberFormat="1" applyFont="1" applyAlignment="1">
      <alignment horizontal="right"/>
    </xf>
    <xf numFmtId="3" fontId="1" fillId="0" borderId="0" xfId="8" applyNumberFormat="1" applyAlignment="1">
      <alignment horizontal="right"/>
    </xf>
    <xf numFmtId="9" fontId="1" fillId="0" borderId="0" xfId="2" applyAlignment="1" applyProtection="1">
      <alignment horizontal="right"/>
    </xf>
    <xf numFmtId="0" fontId="6" fillId="0" borderId="0" xfId="0" applyFont="1" applyAlignment="1">
      <alignment vertical="top"/>
    </xf>
    <xf numFmtId="0" fontId="20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18" fillId="10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21" fillId="7" borderId="3" xfId="0" applyFont="1" applyFill="1" applyBorder="1" applyAlignment="1" applyProtection="1">
      <alignment horizontal="left" vertical="center" indent="1"/>
      <protection locked="0"/>
    </xf>
    <xf numFmtId="49" fontId="15" fillId="0" borderId="11" xfId="5" applyNumberFormat="1" applyFont="1" applyBorder="1" applyAlignment="1" applyProtection="1">
      <alignment horizontal="right" vertical="center"/>
    </xf>
    <xf numFmtId="0" fontId="16" fillId="10" borderId="0" xfId="0" applyFont="1" applyFill="1" applyAlignment="1">
      <alignment horizontal="left" vertical="center"/>
    </xf>
    <xf numFmtId="167" fontId="17" fillId="0" borderId="0" xfId="2" applyNumberFormat="1" applyFont="1" applyAlignment="1">
      <alignment horizontal="center" vertical="center"/>
    </xf>
    <xf numFmtId="0" fontId="18" fillId="6" borderId="0" xfId="0" applyFont="1" applyFill="1" applyAlignment="1">
      <alignment horizontal="left" vertical="center"/>
    </xf>
    <xf numFmtId="167" fontId="18" fillId="6" borderId="0" xfId="0" applyNumberFormat="1" applyFont="1" applyFill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horizontal="left" vertical="center"/>
    </xf>
    <xf numFmtId="3" fontId="17" fillId="0" borderId="0" xfId="1" applyNumberFormat="1" applyFont="1" applyAlignment="1">
      <alignment horizontal="center" vertical="center"/>
    </xf>
    <xf numFmtId="9" fontId="18" fillId="6" borderId="2" xfId="2" applyFont="1" applyFill="1" applyBorder="1" applyAlignment="1" applyProtection="1">
      <alignment vertical="center"/>
    </xf>
    <xf numFmtId="0" fontId="15" fillId="6" borderId="15" xfId="7" applyFont="1" applyFill="1" applyBorder="1" applyAlignment="1">
      <alignment horizontal="center" vertical="center"/>
    </xf>
    <xf numFmtId="0" fontId="15" fillId="6" borderId="21" xfId="7" applyFont="1" applyFill="1" applyBorder="1" applyAlignment="1">
      <alignment wrapText="1"/>
    </xf>
    <xf numFmtId="0" fontId="15" fillId="6" borderId="21" xfId="7" applyFont="1" applyFill="1" applyBorder="1"/>
    <xf numFmtId="0" fontId="17" fillId="6" borderId="21" xfId="7" applyFont="1" applyFill="1" applyBorder="1" applyAlignment="1">
      <alignment horizontal="left" vertical="center" indent="3"/>
    </xf>
    <xf numFmtId="0" fontId="17" fillId="6" borderId="22" xfId="7" applyFont="1" applyFill="1" applyBorder="1" applyAlignment="1">
      <alignment horizontal="left" vertical="center" indent="3"/>
    </xf>
    <xf numFmtId="2" fontId="17" fillId="6" borderId="2" xfId="5" applyNumberFormat="1" applyFont="1" applyFill="1" applyBorder="1" applyAlignment="1" applyProtection="1">
      <alignment horizontal="center" vertical="center" wrapText="1"/>
    </xf>
    <xf numFmtId="0" fontId="50" fillId="0" borderId="0" xfId="0" applyFont="1" applyAlignment="1">
      <alignment horizontal="center" vertical="center"/>
    </xf>
    <xf numFmtId="167" fontId="49" fillId="0" borderId="0" xfId="2" applyNumberFormat="1" applyFont="1" applyAlignment="1">
      <alignment horizontal="center" vertical="center"/>
    </xf>
    <xf numFmtId="0" fontId="50" fillId="10" borderId="0" xfId="0" applyFont="1" applyFill="1" applyAlignment="1">
      <alignment horizontal="center" vertical="center"/>
    </xf>
    <xf numFmtId="2" fontId="49" fillId="0" borderId="0" xfId="0" applyNumberFormat="1" applyFont="1" applyAlignment="1">
      <alignment horizontal="center" vertical="center"/>
    </xf>
    <xf numFmtId="0" fontId="15" fillId="14" borderId="19" xfId="7" applyFont="1" applyFill="1" applyBorder="1" applyAlignment="1">
      <alignment horizontal="center" vertical="center"/>
    </xf>
    <xf numFmtId="0" fontId="15" fillId="14" borderId="20" xfId="7" applyFont="1" applyFill="1" applyBorder="1" applyAlignment="1">
      <alignment horizontal="center" vertical="center"/>
    </xf>
    <xf numFmtId="0" fontId="17" fillId="14" borderId="0" xfId="7" applyFont="1" applyFill="1" applyAlignment="1">
      <alignment vertical="center"/>
    </xf>
    <xf numFmtId="0" fontId="17" fillId="14" borderId="16" xfId="7" applyFont="1" applyFill="1" applyBorder="1" applyAlignment="1">
      <alignment vertical="center"/>
    </xf>
    <xf numFmtId="0" fontId="12" fillId="11" borderId="26" xfId="7" applyFont="1" applyFill="1" applyBorder="1" applyAlignment="1">
      <alignment horizontal="left" vertical="center" indent="1"/>
    </xf>
    <xf numFmtId="0" fontId="12" fillId="11" borderId="27" xfId="7" applyFont="1" applyFill="1" applyBorder="1" applyAlignment="1">
      <alignment horizontal="left" vertical="center" indent="1"/>
    </xf>
    <xf numFmtId="0" fontId="13" fillId="0" borderId="26" xfId="7" applyFont="1" applyBorder="1" applyAlignment="1">
      <alignment horizontal="left" vertical="center" indent="1"/>
    </xf>
    <xf numFmtId="0" fontId="13" fillId="0" borderId="27" xfId="7" applyFont="1" applyBorder="1" applyAlignment="1">
      <alignment horizontal="left" vertical="center" indent="1"/>
    </xf>
    <xf numFmtId="0" fontId="13" fillId="0" borderId="26" xfId="7" applyFont="1" applyBorder="1" applyAlignment="1">
      <alignment horizontal="right" vertical="center" indent="1"/>
    </xf>
    <xf numFmtId="0" fontId="13" fillId="0" borderId="0" xfId="7" applyFont="1" applyAlignment="1">
      <alignment horizontal="left" vertical="center" indent="1"/>
    </xf>
    <xf numFmtId="0" fontId="13" fillId="9" borderId="0" xfId="7" applyFont="1" applyFill="1" applyAlignment="1">
      <alignment horizontal="left" vertical="center"/>
    </xf>
    <xf numFmtId="0" fontId="13" fillId="0" borderId="0" xfId="7" applyFont="1" applyAlignment="1">
      <alignment horizontal="left" vertical="center"/>
    </xf>
    <xf numFmtId="0" fontId="11" fillId="0" borderId="27" xfId="7" applyFont="1" applyBorder="1"/>
    <xf numFmtId="0" fontId="11" fillId="0" borderId="26" xfId="7" applyFont="1" applyBorder="1"/>
    <xf numFmtId="9" fontId="11" fillId="0" borderId="0" xfId="2" applyFont="1" applyBorder="1"/>
    <xf numFmtId="0" fontId="13" fillId="0" borderId="27" xfId="7" applyFont="1" applyBorder="1" applyAlignment="1">
      <alignment horizontal="left" vertical="top" wrapText="1"/>
    </xf>
    <xf numFmtId="0" fontId="12" fillId="4" borderId="28" xfId="7" applyFont="1" applyFill="1" applyBorder="1" applyAlignment="1">
      <alignment horizontal="left" vertical="center" indent="1"/>
    </xf>
    <xf numFmtId="0" fontId="12" fillId="4" borderId="29" xfId="7" applyFont="1" applyFill="1" applyBorder="1" applyAlignment="1">
      <alignment horizontal="left" vertical="center" indent="1"/>
    </xf>
    <xf numFmtId="0" fontId="10" fillId="0" borderId="26" xfId="7" applyFont="1" applyBorder="1"/>
    <xf numFmtId="0" fontId="10" fillId="0" borderId="27" xfId="7" applyFont="1" applyBorder="1"/>
    <xf numFmtId="0" fontId="10" fillId="0" borderId="30" xfId="7" applyFont="1" applyBorder="1"/>
    <xf numFmtId="0" fontId="10" fillId="0" borderId="31" xfId="7" applyFont="1" applyBorder="1"/>
    <xf numFmtId="0" fontId="10" fillId="0" borderId="32" xfId="7" applyFont="1" applyBorder="1"/>
    <xf numFmtId="0" fontId="11" fillId="0" borderId="0" xfId="7" applyFont="1" applyProtection="1">
      <protection locked="0"/>
    </xf>
    <xf numFmtId="0" fontId="11" fillId="0" borderId="0" xfId="7" applyFont="1" applyAlignment="1" applyProtection="1">
      <alignment horizontal="left" vertical="top"/>
      <protection locked="0"/>
    </xf>
    <xf numFmtId="0" fontId="13" fillId="0" borderId="26" xfId="7" applyFont="1" applyBorder="1" applyAlignment="1" applyProtection="1">
      <alignment horizontal="left" vertical="center" indent="1"/>
      <protection locked="0"/>
    </xf>
    <xf numFmtId="0" fontId="13" fillId="0" borderId="0" xfId="7" applyFont="1" applyAlignment="1" applyProtection="1">
      <alignment horizontal="left" vertical="center" indent="1"/>
      <protection locked="0"/>
    </xf>
    <xf numFmtId="0" fontId="13" fillId="0" borderId="27" xfId="7" applyFont="1" applyBorder="1" applyAlignment="1" applyProtection="1">
      <alignment horizontal="left" vertical="center" indent="1"/>
      <protection locked="0"/>
    </xf>
    <xf numFmtId="0" fontId="10" fillId="0" borderId="0" xfId="7" applyFont="1" applyProtection="1">
      <protection locked="0"/>
    </xf>
    <xf numFmtId="0" fontId="10" fillId="0" borderId="26" xfId="7" applyFont="1" applyBorder="1" applyProtection="1">
      <protection locked="0"/>
    </xf>
    <xf numFmtId="0" fontId="10" fillId="0" borderId="27" xfId="7" applyFont="1" applyBorder="1" applyProtection="1">
      <protection locked="0"/>
    </xf>
    <xf numFmtId="167" fontId="33" fillId="0" borderId="0" xfId="2" applyNumberFormat="1" applyFont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0" fontId="23" fillId="8" borderId="2" xfId="0" applyFont="1" applyFill="1" applyBorder="1" applyAlignment="1">
      <alignment horizontal="center" vertical="center" wrapText="1"/>
    </xf>
    <xf numFmtId="0" fontId="14" fillId="8" borderId="2" xfId="5" applyFont="1" applyFill="1" applyBorder="1" applyAlignment="1" applyProtection="1">
      <alignment vertical="center"/>
    </xf>
    <xf numFmtId="0" fontId="52" fillId="8" borderId="2" xfId="5" applyFont="1" applyFill="1" applyBorder="1" applyAlignment="1" applyProtection="1">
      <alignment vertical="center"/>
    </xf>
    <xf numFmtId="0" fontId="52" fillId="8" borderId="2" xfId="5" quotePrefix="1" applyFont="1" applyFill="1" applyBorder="1" applyAlignment="1" applyProtection="1">
      <alignment horizontal="center" vertical="center"/>
    </xf>
    <xf numFmtId="0" fontId="52" fillId="8" borderId="2" xfId="5" quotePrefix="1" applyFont="1" applyFill="1" applyBorder="1" applyAlignment="1" applyProtection="1">
      <alignment horizontal="center" vertical="center" wrapText="1"/>
    </xf>
    <xf numFmtId="0" fontId="1" fillId="0" borderId="0" xfId="8" applyAlignment="1">
      <alignment horizontal="left" vertical="center"/>
    </xf>
    <xf numFmtId="0" fontId="51" fillId="0" borderId="0" xfId="0" applyFont="1"/>
    <xf numFmtId="0" fontId="24" fillId="8" borderId="2" xfId="5" applyFont="1" applyFill="1" applyBorder="1" applyAlignment="1">
      <alignment horizontal="center" vertical="center"/>
      <protection locked="0"/>
    </xf>
    <xf numFmtId="0" fontId="34" fillId="0" borderId="0" xfId="0" applyFont="1"/>
    <xf numFmtId="170" fontId="17" fillId="14" borderId="0" xfId="7" applyNumberFormat="1" applyFont="1" applyFill="1" applyAlignment="1">
      <alignment horizontal="center" vertical="center"/>
    </xf>
    <xf numFmtId="170" fontId="17" fillId="14" borderId="16" xfId="7" applyNumberFormat="1" applyFont="1" applyFill="1" applyBorder="1" applyAlignment="1">
      <alignment horizontal="center" vertical="center"/>
    </xf>
    <xf numFmtId="170" fontId="17" fillId="14" borderId="17" xfId="7" applyNumberFormat="1" applyFont="1" applyFill="1" applyBorder="1" applyAlignment="1">
      <alignment horizontal="center" vertical="center"/>
    </xf>
    <xf numFmtId="170" fontId="17" fillId="14" borderId="18" xfId="7" applyNumberFormat="1" applyFont="1" applyFill="1" applyBorder="1" applyAlignment="1">
      <alignment horizontal="center" vertical="center"/>
    </xf>
    <xf numFmtId="0" fontId="30" fillId="0" borderId="0" xfId="8" applyFont="1" applyAlignment="1">
      <alignment horizontal="left"/>
    </xf>
    <xf numFmtId="0" fontId="38" fillId="0" borderId="0" xfId="8" applyFont="1" applyAlignment="1" applyProtection="1">
      <alignment horizontal="left" vertical="center" wrapText="1" indent="1"/>
      <protection locked="0"/>
    </xf>
    <xf numFmtId="0" fontId="56" fillId="0" borderId="0" xfId="0" applyFont="1" applyProtection="1">
      <protection locked="0"/>
    </xf>
    <xf numFmtId="172" fontId="15" fillId="0" borderId="0" xfId="5" applyNumberFormat="1" applyFont="1" applyAlignment="1" applyProtection="1">
      <alignment horizontal="right" vertical="center"/>
    </xf>
    <xf numFmtId="172" fontId="21" fillId="7" borderId="2" xfId="0" applyNumberFormat="1" applyFont="1" applyFill="1" applyBorder="1" applyAlignment="1" applyProtection="1">
      <alignment horizontal="center" vertical="center"/>
      <protection locked="0"/>
    </xf>
    <xf numFmtId="172" fontId="21" fillId="7" borderId="3" xfId="0" applyNumberFormat="1" applyFont="1" applyFill="1" applyBorder="1" applyAlignment="1" applyProtection="1">
      <alignment horizontal="center" vertical="center"/>
      <protection locked="0"/>
    </xf>
    <xf numFmtId="172" fontId="21" fillId="7" borderId="2" xfId="0" applyNumberFormat="1" applyFont="1" applyFill="1" applyBorder="1" applyAlignment="1" applyProtection="1">
      <alignment horizontal="left" vertical="center" indent="1"/>
      <protection locked="0"/>
    </xf>
    <xf numFmtId="49" fontId="57" fillId="0" borderId="0" xfId="4" applyNumberFormat="1" applyFont="1" applyAlignment="1" applyProtection="1">
      <alignment vertical="top"/>
    </xf>
    <xf numFmtId="171" fontId="55" fillId="6" borderId="8" xfId="12" applyNumberFormat="1" applyFont="1" applyFill="1" applyBorder="1" applyAlignment="1" applyProtection="1">
      <alignment vertical="center"/>
    </xf>
    <xf numFmtId="171" fontId="55" fillId="6" borderId="4" xfId="12" applyNumberFormat="1" applyFont="1" applyFill="1" applyBorder="1" applyAlignment="1" applyProtection="1">
      <alignment vertical="center"/>
    </xf>
    <xf numFmtId="171" fontId="55" fillId="0" borderId="8" xfId="12" applyNumberFormat="1" applyFont="1" applyFill="1" applyBorder="1" applyAlignment="1" applyProtection="1">
      <alignment vertical="center"/>
    </xf>
    <xf numFmtId="173" fontId="16" fillId="0" borderId="3" xfId="6" applyNumberFormat="1" applyFont="1" applyBorder="1" applyAlignment="1" applyProtection="1">
      <alignment vertical="center"/>
    </xf>
    <xf numFmtId="173" fontId="18" fillId="0" borderId="2" xfId="6" applyNumberFormat="1" applyFont="1" applyBorder="1" applyAlignment="1" applyProtection="1">
      <alignment vertical="center"/>
    </xf>
    <xf numFmtId="173" fontId="18" fillId="0" borderId="3" xfId="6" applyNumberFormat="1" applyFont="1" applyBorder="1" applyAlignment="1" applyProtection="1">
      <alignment vertical="center"/>
    </xf>
    <xf numFmtId="173" fontId="16" fillId="0" borderId="2" xfId="6" applyNumberFormat="1" applyFont="1" applyBorder="1" applyAlignment="1" applyProtection="1">
      <alignment vertical="center"/>
    </xf>
    <xf numFmtId="173" fontId="18" fillId="12" borderId="3" xfId="6" applyNumberFormat="1" applyFont="1" applyFill="1" applyBorder="1" applyAlignment="1" applyProtection="1">
      <alignment vertical="center"/>
      <protection locked="0"/>
    </xf>
    <xf numFmtId="173" fontId="18" fillId="12" borderId="2" xfId="6" applyNumberFormat="1" applyFont="1" applyFill="1" applyBorder="1" applyAlignment="1" applyProtection="1">
      <alignment vertical="center"/>
      <protection locked="0"/>
    </xf>
    <xf numFmtId="173" fontId="0" fillId="0" borderId="0" xfId="0" applyNumberFormat="1"/>
    <xf numFmtId="172" fontId="18" fillId="6" borderId="2" xfId="1" applyNumberFormat="1" applyFont="1" applyFill="1" applyBorder="1" applyAlignment="1">
      <alignment vertical="center"/>
    </xf>
    <xf numFmtId="172" fontId="21" fillId="7" borderId="2" xfId="1" applyNumberFormat="1" applyFont="1" applyFill="1" applyBorder="1" applyAlignment="1" applyProtection="1">
      <alignment horizontal="center" vertical="center"/>
    </xf>
    <xf numFmtId="172" fontId="17" fillId="6" borderId="2" xfId="5" applyNumberFormat="1" applyFont="1" applyFill="1" applyBorder="1" applyAlignment="1">
      <alignment horizontal="left" vertical="top" wrapText="1"/>
      <protection locked="0"/>
    </xf>
    <xf numFmtId="172" fontId="4" fillId="0" borderId="0" xfId="4" applyNumberFormat="1" applyAlignment="1" applyProtection="1">
      <alignment vertical="top"/>
    </xf>
    <xf numFmtId="172" fontId="0" fillId="0" borderId="0" xfId="0" applyNumberFormat="1"/>
    <xf numFmtId="172" fontId="55" fillId="6" borderId="8" xfId="12" applyNumberFormat="1" applyFont="1" applyFill="1" applyBorder="1" applyAlignment="1" applyProtection="1">
      <alignment vertical="center"/>
    </xf>
    <xf numFmtId="167" fontId="18" fillId="10" borderId="2" xfId="2" applyNumberFormat="1" applyFont="1" applyFill="1" applyBorder="1" applyAlignment="1" applyProtection="1">
      <alignment vertical="center"/>
    </xf>
    <xf numFmtId="167" fontId="18" fillId="6" borderId="2" xfId="2" applyNumberFormat="1" applyFont="1" applyFill="1" applyBorder="1" applyAlignment="1" applyProtection="1">
      <alignment vertical="center"/>
    </xf>
    <xf numFmtId="167" fontId="17" fillId="3" borderId="2" xfId="2" applyNumberFormat="1" applyFont="1" applyFill="1" applyBorder="1" applyAlignment="1" applyProtection="1">
      <alignment horizontal="right" vertical="center"/>
    </xf>
    <xf numFmtId="167" fontId="38" fillId="0" borderId="0" xfId="2" applyNumberFormat="1" applyFont="1" applyAlignment="1" applyProtection="1">
      <alignment horizontal="left" vertical="center" indent="2"/>
    </xf>
    <xf numFmtId="167" fontId="1" fillId="0" borderId="0" xfId="2" applyNumberFormat="1" applyProtection="1"/>
    <xf numFmtId="0" fontId="58" fillId="4" borderId="7" xfId="0" applyFont="1" applyFill="1" applyBorder="1" applyAlignment="1" applyProtection="1">
      <alignment horizontal="center" vertical="center"/>
      <protection locked="0"/>
    </xf>
    <xf numFmtId="0" fontId="45" fillId="8" borderId="3" xfId="0" applyFont="1" applyFill="1" applyBorder="1" applyAlignment="1" applyProtection="1">
      <alignment horizontal="center" vertical="center"/>
      <protection locked="0"/>
    </xf>
    <xf numFmtId="0" fontId="45" fillId="4" borderId="8" xfId="0" applyFont="1" applyFill="1" applyBorder="1" applyAlignment="1" applyProtection="1">
      <alignment horizontal="center" vertical="center"/>
      <protection locked="0"/>
    </xf>
    <xf numFmtId="0" fontId="54" fillId="0" borderId="0" xfId="0" applyFont="1"/>
    <xf numFmtId="0" fontId="48" fillId="0" borderId="0" xfId="0" applyFont="1" applyAlignment="1">
      <alignment vertical="center" wrapText="1"/>
    </xf>
    <xf numFmtId="167" fontId="15" fillId="0" borderId="0" xfId="2" applyNumberFormat="1" applyFont="1" applyFill="1" applyAlignment="1">
      <alignment horizontal="center" vertical="center"/>
    </xf>
    <xf numFmtId="3" fontId="2" fillId="0" borderId="0" xfId="3" applyNumberFormat="1" applyFont="1" applyFill="1" applyBorder="1" applyAlignment="1">
      <alignment horizontal="center" vertical="center" wrapText="1"/>
    </xf>
    <xf numFmtId="3" fontId="31" fillId="0" borderId="0" xfId="3" applyNumberFormat="1" applyFont="1" applyFill="1" applyBorder="1" applyAlignment="1">
      <alignment horizontal="center" vertical="center" wrapText="1"/>
    </xf>
    <xf numFmtId="166" fontId="18" fillId="0" borderId="0" xfId="6" applyNumberFormat="1" applyFont="1" applyFill="1" applyBorder="1" applyAlignment="1" applyProtection="1">
      <alignment vertical="center"/>
      <protection locked="0"/>
    </xf>
    <xf numFmtId="49" fontId="59" fillId="6" borderId="2" xfId="5" applyNumberFormat="1" applyFont="1" applyFill="1" applyBorder="1" applyAlignment="1" applyProtection="1">
      <alignment horizontal="left" vertical="center" wrapText="1"/>
    </xf>
    <xf numFmtId="0" fontId="60" fillId="7" borderId="2" xfId="0" applyFont="1" applyFill="1" applyBorder="1" applyAlignment="1">
      <alignment horizontal="left" vertical="center"/>
    </xf>
    <xf numFmtId="3" fontId="46" fillId="12" borderId="8" xfId="6" applyNumberFormat="1" applyFont="1" applyFill="1" applyBorder="1" applyAlignment="1" applyProtection="1">
      <alignment vertical="center"/>
      <protection locked="0"/>
    </xf>
    <xf numFmtId="1" fontId="47" fillId="6" borderId="2" xfId="5" applyNumberFormat="1" applyFont="1" applyFill="1" applyBorder="1" applyAlignment="1" applyProtection="1">
      <alignment horizontal="center" vertical="center" wrapText="1"/>
    </xf>
    <xf numFmtId="1" fontId="34" fillId="0" borderId="0" xfId="8" applyNumberFormat="1" applyFont="1" applyAlignment="1">
      <alignment horizontal="center" vertical="center"/>
    </xf>
    <xf numFmtId="1" fontId="61" fillId="6" borderId="2" xfId="5" applyNumberFormat="1" applyFont="1" applyFill="1" applyBorder="1" applyAlignment="1" applyProtection="1">
      <alignment horizontal="center" vertical="center" wrapText="1"/>
    </xf>
    <xf numFmtId="172" fontId="18" fillId="12" borderId="2" xfId="6" applyNumberFormat="1" applyFont="1" applyFill="1" applyBorder="1" applyAlignment="1" applyProtection="1">
      <alignment vertical="center"/>
      <protection locked="0"/>
    </xf>
    <xf numFmtId="0" fontId="13" fillId="0" borderId="0" xfId="7" applyFont="1" applyAlignment="1">
      <alignment vertical="top" wrapText="1"/>
    </xf>
    <xf numFmtId="0" fontId="17" fillId="0" borderId="17" xfId="7" applyFont="1" applyBorder="1" applyAlignment="1">
      <alignment horizontal="center" vertical="center" wrapText="1"/>
    </xf>
    <xf numFmtId="172" fontId="17" fillId="12" borderId="8" xfId="1" applyNumberFormat="1" applyFont="1" applyFill="1" applyBorder="1" applyAlignment="1" applyProtection="1">
      <alignment vertical="center"/>
      <protection locked="0"/>
    </xf>
    <xf numFmtId="172" fontId="17" fillId="12" borderId="36" xfId="1" applyNumberFormat="1" applyFont="1" applyFill="1" applyBorder="1" applyAlignment="1" applyProtection="1">
      <alignment vertical="center"/>
      <protection locked="0"/>
    </xf>
    <xf numFmtId="0" fontId="9" fillId="0" borderId="0" xfId="7"/>
    <xf numFmtId="171" fontId="55" fillId="0" borderId="0" xfId="0" applyNumberFormat="1" applyFont="1"/>
    <xf numFmtId="0" fontId="56" fillId="0" borderId="0" xfId="0" applyFont="1"/>
    <xf numFmtId="171" fontId="62" fillId="0" borderId="0" xfId="0" applyNumberFormat="1" applyFont="1"/>
    <xf numFmtId="0" fontId="63" fillId="0" borderId="0" xfId="0" applyFont="1"/>
    <xf numFmtId="0" fontId="9" fillId="0" borderId="0" xfId="7" applyProtection="1">
      <protection locked="0"/>
    </xf>
    <xf numFmtId="171" fontId="55" fillId="0" borderId="4" xfId="12" applyNumberFormat="1" applyFont="1" applyFill="1" applyBorder="1" applyAlignment="1" applyProtection="1">
      <alignment vertical="center"/>
    </xf>
    <xf numFmtId="171" fontId="55" fillId="0" borderId="0" xfId="12" applyNumberFormat="1" applyFont="1" applyFill="1" applyBorder="1" applyAlignment="1" applyProtection="1">
      <alignment vertical="center"/>
    </xf>
    <xf numFmtId="171" fontId="55" fillId="6" borderId="37" xfId="12" applyNumberFormat="1" applyFont="1" applyFill="1" applyBorder="1" applyAlignment="1" applyProtection="1">
      <alignment vertical="center"/>
    </xf>
    <xf numFmtId="49" fontId="17" fillId="6" borderId="2" xfId="5" applyNumberFormat="1" applyFont="1" applyFill="1" applyBorder="1" applyAlignment="1" applyProtection="1">
      <alignment horizontal="left" vertical="top" wrapText="1" indent="2"/>
    </xf>
    <xf numFmtId="49" fontId="17" fillId="0" borderId="2" xfId="5" applyNumberFormat="1" applyFont="1" applyBorder="1" applyAlignment="1" applyProtection="1">
      <alignment horizontal="left" vertical="top" wrapText="1"/>
    </xf>
    <xf numFmtId="49" fontId="17" fillId="0" borderId="2" xfId="5" applyNumberFormat="1" applyFont="1" applyBorder="1" applyAlignment="1">
      <alignment horizontal="left" vertical="top" wrapText="1"/>
      <protection locked="0"/>
    </xf>
    <xf numFmtId="172" fontId="18" fillId="0" borderId="3" xfId="6" applyNumberFormat="1" applyFont="1" applyFill="1" applyBorder="1" applyAlignment="1" applyProtection="1">
      <alignment vertical="center"/>
      <protection locked="0"/>
    </xf>
    <xf numFmtId="172" fontId="18" fillId="0" borderId="2" xfId="6" applyNumberFormat="1" applyFont="1" applyFill="1" applyBorder="1" applyAlignment="1" applyProtection="1">
      <alignment vertical="center"/>
      <protection locked="0"/>
    </xf>
    <xf numFmtId="0" fontId="9" fillId="0" borderId="17" xfId="7" applyBorder="1" applyProtection="1">
      <protection locked="0"/>
    </xf>
    <xf numFmtId="49" fontId="15" fillId="6" borderId="2" xfId="5" applyNumberFormat="1" applyFont="1" applyFill="1" applyBorder="1" applyAlignment="1" applyProtection="1">
      <alignment horizontal="left" vertical="top" wrapText="1"/>
    </xf>
    <xf numFmtId="0" fontId="17" fillId="0" borderId="17" xfId="7" applyFont="1" applyBorder="1" applyAlignment="1">
      <alignment vertical="center" wrapText="1"/>
    </xf>
    <xf numFmtId="0" fontId="17" fillId="0" borderId="0" xfId="7" applyFont="1" applyAlignment="1">
      <alignment horizontal="left" vertical="center" indent="1"/>
    </xf>
    <xf numFmtId="0" fontId="17" fillId="0" borderId="17" xfId="7" applyFont="1" applyBorder="1" applyAlignment="1">
      <alignment horizontal="left" vertical="center" indent="1"/>
    </xf>
    <xf numFmtId="0" fontId="64" fillId="0" borderId="0" xfId="7" applyFont="1"/>
    <xf numFmtId="49" fontId="17" fillId="0" borderId="5" xfId="5" applyNumberFormat="1" applyFont="1" applyBorder="1" applyAlignment="1" applyProtection="1">
      <alignment horizontal="left" vertical="top" wrapText="1" indent="2"/>
    </xf>
    <xf numFmtId="3" fontId="18" fillId="0" borderId="0" xfId="6" applyNumberFormat="1" applyFont="1" applyFill="1" applyBorder="1" applyAlignment="1" applyProtection="1">
      <alignment vertical="center"/>
    </xf>
    <xf numFmtId="0" fontId="17" fillId="0" borderId="0" xfId="7" applyFont="1"/>
    <xf numFmtId="171" fontId="62" fillId="0" borderId="0" xfId="0" applyNumberFormat="1" applyFont="1" applyAlignment="1">
      <alignment vertical="top"/>
    </xf>
    <xf numFmtId="171" fontId="55" fillId="0" borderId="0" xfId="0" applyNumberFormat="1" applyFont="1" applyAlignment="1">
      <alignment vertical="top"/>
    </xf>
    <xf numFmtId="172" fontId="21" fillId="7" borderId="6" xfId="0" applyNumberFormat="1" applyFont="1" applyFill="1" applyBorder="1" applyAlignment="1" applyProtection="1">
      <alignment horizontal="center" vertical="center"/>
      <protection locked="0"/>
    </xf>
    <xf numFmtId="3" fontId="18" fillId="6" borderId="34" xfId="6" applyNumberFormat="1" applyFont="1" applyFill="1" applyBorder="1" applyAlignment="1" applyProtection="1">
      <alignment vertical="center"/>
    </xf>
    <xf numFmtId="0" fontId="23" fillId="8" borderId="38" xfId="0" applyFont="1" applyFill="1" applyBorder="1" applyAlignment="1">
      <alignment horizontal="center" vertical="center"/>
    </xf>
    <xf numFmtId="3" fontId="17" fillId="3" borderId="34" xfId="5" applyNumberFormat="1" applyFont="1" applyFill="1" applyBorder="1" applyAlignment="1" applyProtection="1">
      <alignment horizontal="right" vertical="center"/>
    </xf>
    <xf numFmtId="0" fontId="22" fillId="8" borderId="0" xfId="0" applyFont="1" applyFill="1" applyAlignment="1">
      <alignment horizontal="center" vertical="center"/>
    </xf>
    <xf numFmtId="0" fontId="22" fillId="8" borderId="0" xfId="0" applyFont="1" applyFill="1" applyAlignment="1">
      <alignment horizontal="left" vertical="center"/>
    </xf>
    <xf numFmtId="0" fontId="58" fillId="4" borderId="40" xfId="0" applyFont="1" applyFill="1" applyBorder="1" applyAlignment="1" applyProtection="1">
      <alignment horizontal="center" vertical="center"/>
      <protection locked="0"/>
    </xf>
    <xf numFmtId="0" fontId="45" fillId="4" borderId="14" xfId="0" applyFont="1" applyFill="1" applyBorder="1" applyAlignment="1" applyProtection="1">
      <alignment horizontal="center" vertical="center"/>
      <protection locked="0"/>
    </xf>
    <xf numFmtId="3" fontId="17" fillId="6" borderId="3" xfId="5" applyNumberFormat="1" applyFont="1" applyFill="1" applyBorder="1" applyAlignment="1" applyProtection="1">
      <alignment horizontal="right" vertical="center" wrapText="1"/>
    </xf>
    <xf numFmtId="170" fontId="17" fillId="14" borderId="0" xfId="7" applyNumberFormat="1" applyFont="1" applyFill="1" applyAlignment="1">
      <alignment horizontal="center"/>
    </xf>
    <xf numFmtId="170" fontId="17" fillId="14" borderId="16" xfId="7" applyNumberFormat="1" applyFont="1" applyFill="1" applyBorder="1" applyAlignment="1">
      <alignment horizontal="center"/>
    </xf>
    <xf numFmtId="9" fontId="18" fillId="0" borderId="2" xfId="2" applyFont="1" applyFill="1" applyBorder="1" applyAlignment="1" applyProtection="1">
      <alignment vertical="center"/>
    </xf>
    <xf numFmtId="0" fontId="36" fillId="0" borderId="0" xfId="8" applyFont="1"/>
    <xf numFmtId="49" fontId="17" fillId="0" borderId="2" xfId="5" applyNumberFormat="1" applyFont="1" applyBorder="1" applyAlignment="1" applyProtection="1">
      <alignment horizontal="left" vertical="top" wrapText="1" indent="3"/>
    </xf>
    <xf numFmtId="3" fontId="18" fillId="0" borderId="2" xfId="6" applyNumberFormat="1" applyFont="1" applyFill="1" applyBorder="1" applyAlignment="1" applyProtection="1">
      <alignment vertical="center"/>
      <protection locked="0"/>
    </xf>
    <xf numFmtId="0" fontId="17" fillId="0" borderId="0" xfId="7" applyFont="1" applyAlignment="1">
      <alignment horizontal="center"/>
    </xf>
    <xf numFmtId="0" fontId="9" fillId="0" borderId="17" xfId="7" applyBorder="1" applyAlignment="1" applyProtection="1">
      <alignment horizontal="center"/>
      <protection locked="0"/>
    </xf>
    <xf numFmtId="172" fontId="18" fillId="0" borderId="13" xfId="1" applyNumberFormat="1" applyFont="1" applyFill="1" applyBorder="1" applyAlignment="1" applyProtection="1">
      <alignment vertical="center"/>
      <protection locked="0"/>
    </xf>
    <xf numFmtId="49" fontId="17" fillId="0" borderId="2" xfId="5" applyNumberFormat="1" applyFont="1" applyBorder="1" applyAlignment="1" applyProtection="1">
      <alignment horizontal="left" vertical="top" wrapText="1" indent="2"/>
    </xf>
    <xf numFmtId="49" fontId="65" fillId="0" borderId="34" xfId="5" applyNumberFormat="1" applyFont="1" applyBorder="1" applyAlignment="1" applyProtection="1">
      <alignment horizontal="left" vertical="top" wrapText="1"/>
    </xf>
    <xf numFmtId="9" fontId="66" fillId="0" borderId="39" xfId="2" applyFont="1" applyFill="1" applyBorder="1" applyAlignment="1" applyProtection="1">
      <alignment vertical="center"/>
    </xf>
    <xf numFmtId="0" fontId="1" fillId="11" borderId="0" xfId="8" applyFill="1"/>
    <xf numFmtId="172" fontId="55" fillId="6" borderId="4" xfId="12" applyNumberFormat="1" applyFont="1" applyFill="1" applyBorder="1" applyAlignment="1" applyProtection="1">
      <alignment vertical="center"/>
    </xf>
    <xf numFmtId="164" fontId="55" fillId="6" borderId="4" xfId="12" applyFont="1" applyFill="1" applyBorder="1" applyAlignment="1" applyProtection="1">
      <alignment vertical="center"/>
    </xf>
    <xf numFmtId="164" fontId="55" fillId="6" borderId="8" xfId="12" applyFont="1" applyFill="1" applyBorder="1" applyAlignment="1" applyProtection="1">
      <alignment vertical="center"/>
    </xf>
    <xf numFmtId="9" fontId="17" fillId="0" borderId="0" xfId="2" applyFont="1" applyFill="1" applyAlignment="1">
      <alignment horizontal="center" vertical="center"/>
    </xf>
    <xf numFmtId="167" fontId="49" fillId="0" borderId="0" xfId="2" applyNumberFormat="1" applyFont="1" applyFill="1" applyAlignment="1">
      <alignment horizontal="center" vertical="center"/>
    </xf>
    <xf numFmtId="9" fontId="18" fillId="6" borderId="9" xfId="6" applyNumberFormat="1" applyFont="1" applyFill="1" applyBorder="1" applyAlignment="1" applyProtection="1">
      <alignment vertical="center"/>
    </xf>
    <xf numFmtId="9" fontId="18" fillId="6" borderId="3" xfId="6" applyNumberFormat="1" applyFont="1" applyFill="1" applyBorder="1" applyAlignment="1" applyProtection="1">
      <alignment vertical="center"/>
    </xf>
    <xf numFmtId="174" fontId="17" fillId="0" borderId="0" xfId="1" applyNumberFormat="1" applyFont="1" applyAlignment="1">
      <alignment horizontal="center" vertical="center"/>
    </xf>
    <xf numFmtId="167" fontId="17" fillId="6" borderId="4" xfId="5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10" borderId="0" xfId="0" applyFont="1" applyFill="1" applyAlignment="1">
      <alignment horizontal="center" vertical="center"/>
    </xf>
    <xf numFmtId="171" fontId="18" fillId="6" borderId="2" xfId="12" applyNumberFormat="1" applyFont="1" applyFill="1" applyBorder="1" applyAlignment="1" applyProtection="1">
      <alignment vertical="center"/>
    </xf>
    <xf numFmtId="0" fontId="21" fillId="0" borderId="4" xfId="0" applyFont="1" applyBorder="1" applyAlignment="1" applyProtection="1">
      <alignment horizontal="center" vertical="center"/>
      <protection locked="0"/>
    </xf>
    <xf numFmtId="0" fontId="21" fillId="0" borderId="13" xfId="0" applyFont="1" applyBorder="1" applyAlignment="1" applyProtection="1">
      <alignment horizontal="left" vertical="center" indent="1"/>
      <protection locked="0"/>
    </xf>
    <xf numFmtId="9" fontId="17" fillId="0" borderId="0" xfId="1" applyNumberFormat="1" applyFont="1" applyAlignment="1">
      <alignment horizontal="center" vertical="center"/>
    </xf>
    <xf numFmtId="0" fontId="12" fillId="0" borderId="0" xfId="7" applyFont="1" applyAlignment="1">
      <alignment horizontal="left" vertical="center" indent="1"/>
    </xf>
    <xf numFmtId="0" fontId="12" fillId="4" borderId="23" xfId="7" applyFont="1" applyFill="1" applyBorder="1" applyAlignment="1">
      <alignment vertical="center"/>
    </xf>
    <xf numFmtId="0" fontId="12" fillId="4" borderId="24" xfId="7" applyFont="1" applyFill="1" applyBorder="1" applyAlignment="1">
      <alignment vertical="center"/>
    </xf>
    <xf numFmtId="0" fontId="12" fillId="4" borderId="0" xfId="7" applyFont="1" applyFill="1" applyAlignment="1">
      <alignment vertical="center"/>
    </xf>
    <xf numFmtId="0" fontId="12" fillId="0" borderId="0" xfId="7" applyFont="1" applyAlignment="1">
      <alignment vertical="center"/>
    </xf>
    <xf numFmtId="9" fontId="66" fillId="0" borderId="41" xfId="2" applyFont="1" applyFill="1" applyBorder="1" applyAlignment="1" applyProtection="1">
      <alignment vertical="center"/>
    </xf>
    <xf numFmtId="171" fontId="17" fillId="0" borderId="0" xfId="12" applyNumberFormat="1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49" fontId="17" fillId="6" borderId="34" xfId="5" applyNumberFormat="1" applyFont="1" applyFill="1" applyBorder="1" applyAlignment="1" applyProtection="1">
      <alignment horizontal="left" vertical="top" wrapText="1"/>
    </xf>
    <xf numFmtId="3" fontId="18" fillId="6" borderId="14" xfId="6" applyNumberFormat="1" applyFont="1" applyFill="1" applyBorder="1" applyAlignment="1" applyProtection="1">
      <alignment vertical="center"/>
    </xf>
    <xf numFmtId="3" fontId="18" fillId="0" borderId="8" xfId="6" applyNumberFormat="1" applyFont="1" applyFill="1" applyBorder="1" applyAlignment="1" applyProtection="1">
      <alignment vertical="center"/>
    </xf>
    <xf numFmtId="3" fontId="18" fillId="0" borderId="14" xfId="6" applyNumberFormat="1" applyFont="1" applyFill="1" applyBorder="1" applyAlignment="1" applyProtection="1">
      <alignment vertical="center"/>
    </xf>
    <xf numFmtId="3" fontId="18" fillId="6" borderId="39" xfId="6" applyNumberFormat="1" applyFont="1" applyFill="1" applyBorder="1" applyAlignment="1" applyProtection="1">
      <alignment vertical="center"/>
    </xf>
    <xf numFmtId="3" fontId="18" fillId="6" borderId="41" xfId="6" applyNumberFormat="1" applyFont="1" applyFill="1" applyBorder="1" applyAlignment="1" applyProtection="1">
      <alignment vertical="center"/>
    </xf>
    <xf numFmtId="175" fontId="18" fillId="6" borderId="9" xfId="6" applyNumberFormat="1" applyFont="1" applyFill="1" applyBorder="1" applyAlignment="1" applyProtection="1">
      <alignment vertical="center"/>
    </xf>
    <xf numFmtId="175" fontId="18" fillId="6" borderId="3" xfId="6" applyNumberFormat="1" applyFont="1" applyFill="1" applyBorder="1" applyAlignment="1" applyProtection="1">
      <alignment vertical="center"/>
    </xf>
    <xf numFmtId="175" fontId="20" fillId="0" borderId="0" xfId="0" applyNumberFormat="1" applyFont="1"/>
    <xf numFmtId="175" fontId="17" fillId="0" borderId="0" xfId="1" applyNumberFormat="1" applyFont="1" applyAlignment="1">
      <alignment horizontal="center" vertical="center"/>
    </xf>
    <xf numFmtId="167" fontId="17" fillId="0" borderId="0" xfId="5" applyNumberFormat="1" applyFont="1" applyAlignment="1" applyProtection="1">
      <alignment horizontal="center" vertical="center" wrapText="1"/>
    </xf>
    <xf numFmtId="167" fontId="18" fillId="0" borderId="0" xfId="0" applyNumberFormat="1" applyFont="1" applyAlignment="1">
      <alignment horizontal="center" vertical="center"/>
    </xf>
    <xf numFmtId="167" fontId="17" fillId="0" borderId="0" xfId="2" applyNumberFormat="1" applyFont="1" applyFill="1" applyAlignment="1">
      <alignment horizontal="center" vertical="center"/>
    </xf>
    <xf numFmtId="3" fontId="17" fillId="0" borderId="0" xfId="1" applyNumberFormat="1" applyFont="1" applyFill="1" applyAlignment="1">
      <alignment horizontal="center" vertical="center"/>
    </xf>
    <xf numFmtId="0" fontId="18" fillId="0" borderId="17" xfId="0" applyFont="1" applyBorder="1" applyAlignment="1">
      <alignment horizontal="left" vertical="center"/>
    </xf>
    <xf numFmtId="0" fontId="18" fillId="0" borderId="17" xfId="0" applyFont="1" applyBorder="1" applyAlignment="1">
      <alignment vertical="center"/>
    </xf>
    <xf numFmtId="3" fontId="17" fillId="0" borderId="42" xfId="5" applyNumberFormat="1" applyFont="1" applyBorder="1" applyAlignment="1" applyProtection="1">
      <alignment horizontal="right" vertical="center" wrapText="1"/>
    </xf>
    <xf numFmtId="3" fontId="17" fillId="0" borderId="43" xfId="5" applyNumberFormat="1" applyFont="1" applyBorder="1" applyAlignment="1" applyProtection="1">
      <alignment horizontal="right" vertical="center" wrapText="1"/>
    </xf>
    <xf numFmtId="0" fontId="20" fillId="0" borderId="17" xfId="0" applyFont="1" applyBorder="1"/>
    <xf numFmtId="3" fontId="17" fillId="0" borderId="17" xfId="1" applyNumberFormat="1" applyFont="1" applyFill="1" applyBorder="1" applyAlignment="1">
      <alignment horizontal="center" vertical="center"/>
    </xf>
    <xf numFmtId="2" fontId="49" fillId="0" borderId="17" xfId="0" applyNumberFormat="1" applyFont="1" applyBorder="1" applyAlignment="1">
      <alignment horizontal="center" vertical="center"/>
    </xf>
    <xf numFmtId="3" fontId="17" fillId="0" borderId="35" xfId="5" applyNumberFormat="1" applyFont="1" applyBorder="1" applyAlignment="1" applyProtection="1">
      <alignment horizontal="right" vertical="center" wrapText="1"/>
    </xf>
    <xf numFmtId="3" fontId="17" fillId="0" borderId="33" xfId="5" applyNumberFormat="1" applyFont="1" applyBorder="1" applyAlignment="1" applyProtection="1">
      <alignment horizontal="right" vertical="center" wrapText="1"/>
    </xf>
    <xf numFmtId="3" fontId="18" fillId="0" borderId="5" xfId="6" applyNumberFormat="1" applyFont="1" applyFill="1" applyBorder="1" applyAlignment="1" applyProtection="1">
      <alignment vertical="center"/>
      <protection locked="0"/>
    </xf>
    <xf numFmtId="0" fontId="13" fillId="0" borderId="0" xfId="7" applyFont="1" applyAlignment="1">
      <alignment vertical="center" wrapText="1"/>
    </xf>
    <xf numFmtId="0" fontId="13" fillId="0" borderId="26" xfId="7" applyFont="1" applyBorder="1" applyAlignment="1">
      <alignment horizontal="left" vertical="center" wrapText="1" indent="1"/>
    </xf>
    <xf numFmtId="49" fontId="67" fillId="0" borderId="0" xfId="8" applyNumberFormat="1" applyFont="1" applyProtection="1">
      <protection locked="0"/>
    </xf>
    <xf numFmtId="2" fontId="24" fillId="15" borderId="2" xfId="5" applyNumberFormat="1" applyFont="1" applyFill="1" applyBorder="1" applyAlignment="1" applyProtection="1">
      <alignment horizontal="center" vertical="center" wrapText="1"/>
    </xf>
    <xf numFmtId="0" fontId="20" fillId="0" borderId="17" xfId="0" applyFont="1" applyBorder="1" applyProtection="1">
      <protection locked="0"/>
    </xf>
    <xf numFmtId="167" fontId="47" fillId="0" borderId="17" xfId="2" applyNumberFormat="1" applyFont="1" applyBorder="1" applyAlignment="1" applyProtection="1">
      <alignment horizontal="right" vertical="center"/>
      <protection locked="0"/>
    </xf>
    <xf numFmtId="0" fontId="20" fillId="0" borderId="17" xfId="0" applyFont="1" applyBorder="1" applyAlignment="1" applyProtection="1">
      <alignment vertical="center"/>
      <protection locked="0"/>
    </xf>
    <xf numFmtId="0" fontId="47" fillId="0" borderId="17" xfId="0" applyFont="1" applyBorder="1" applyAlignment="1" applyProtection="1">
      <alignment horizontal="right" vertical="center"/>
      <protection locked="0"/>
    </xf>
    <xf numFmtId="0" fontId="46" fillId="0" borderId="17" xfId="0" applyFont="1" applyBorder="1" applyAlignment="1" applyProtection="1">
      <alignment horizontal="left" vertical="center"/>
      <protection locked="0"/>
    </xf>
    <xf numFmtId="0" fontId="17" fillId="6" borderId="2" xfId="5" applyNumberFormat="1" applyFont="1" applyFill="1" applyBorder="1" applyAlignment="1" applyProtection="1">
      <alignment horizontal="left" vertical="top" wrapText="1" indent="3"/>
    </xf>
    <xf numFmtId="173" fontId="18" fillId="12" borderId="3" xfId="12" applyNumberFormat="1" applyFont="1" applyFill="1" applyBorder="1" applyAlignment="1" applyProtection="1">
      <alignment vertical="center"/>
      <protection locked="0"/>
    </xf>
    <xf numFmtId="0" fontId="0" fillId="11" borderId="0" xfId="0" applyFill="1"/>
    <xf numFmtId="173" fontId="0" fillId="11" borderId="0" xfId="0" applyNumberFormat="1" applyFill="1"/>
    <xf numFmtId="0" fontId="11" fillId="11" borderId="0" xfId="7" applyFont="1" applyFill="1"/>
    <xf numFmtId="0" fontId="0" fillId="0" borderId="0" xfId="0" applyBorder="1"/>
    <xf numFmtId="164" fontId="55" fillId="6" borderId="14" xfId="12" applyFont="1" applyFill="1" applyBorder="1" applyAlignment="1" applyProtection="1">
      <alignment vertical="center"/>
    </xf>
    <xf numFmtId="0" fontId="0" fillId="11" borderId="0" xfId="0" applyFill="1" applyBorder="1"/>
    <xf numFmtId="0" fontId="20" fillId="0" borderId="0" xfId="0" applyFont="1" applyBorder="1"/>
    <xf numFmtId="172" fontId="15" fillId="0" borderId="2" xfId="5" applyNumberFormat="1" applyFont="1" applyBorder="1" applyAlignment="1" applyProtection="1">
      <alignment horizontal="left" vertical="center"/>
    </xf>
    <xf numFmtId="49" fontId="15" fillId="0" borderId="2" xfId="5" applyNumberFormat="1" applyFont="1" applyBorder="1" applyAlignment="1" applyProtection="1">
      <alignment horizontal="left" vertical="center"/>
    </xf>
    <xf numFmtId="0" fontId="21" fillId="0" borderId="2" xfId="0" applyFont="1" applyBorder="1" applyAlignment="1" applyProtection="1">
      <alignment horizontal="left" vertical="center" indent="1"/>
      <protection locked="0"/>
    </xf>
    <xf numFmtId="172" fontId="15" fillId="0" borderId="2" xfId="5" applyNumberFormat="1" applyFont="1" applyBorder="1" applyAlignment="1" applyProtection="1">
      <alignment horizontal="right" vertical="center"/>
    </xf>
    <xf numFmtId="172" fontId="18" fillId="0" borderId="2" xfId="1" applyNumberFormat="1" applyFont="1" applyFill="1" applyBorder="1" applyAlignment="1" applyProtection="1">
      <alignment vertical="center"/>
      <protection locked="0"/>
    </xf>
    <xf numFmtId="3" fontId="38" fillId="0" borderId="2" xfId="8" applyNumberFormat="1" applyFont="1" applyBorder="1" applyAlignment="1">
      <alignment horizontal="left" vertical="center" indent="2"/>
    </xf>
    <xf numFmtId="9" fontId="21" fillId="7" borderId="45" xfId="2" applyFont="1" applyFill="1" applyBorder="1" applyAlignment="1" applyProtection="1">
      <alignment horizontal="right" vertical="center" indent="1"/>
    </xf>
    <xf numFmtId="167" fontId="17" fillId="3" borderId="4" xfId="2" applyNumberFormat="1" applyFont="1" applyFill="1" applyBorder="1" applyAlignment="1" applyProtection="1">
      <alignment horizontal="right" vertical="center"/>
    </xf>
    <xf numFmtId="9" fontId="21" fillId="7" borderId="4" xfId="2" applyFont="1" applyFill="1" applyBorder="1" applyAlignment="1" applyProtection="1">
      <alignment horizontal="right" vertical="center" indent="1"/>
    </xf>
    <xf numFmtId="0" fontId="1" fillId="0" borderId="2" xfId="8" applyBorder="1"/>
    <xf numFmtId="2" fontId="21" fillId="7" borderId="2" xfId="2" applyNumberFormat="1" applyFont="1" applyFill="1" applyBorder="1" applyAlignment="1" applyProtection="1">
      <alignment horizontal="right" vertical="center" indent="1"/>
    </xf>
    <xf numFmtId="9" fontId="21" fillId="7" borderId="2" xfId="0" applyNumberFormat="1" applyFont="1" applyFill="1" applyBorder="1" applyAlignment="1">
      <alignment horizontal="right" vertical="center" indent="1"/>
    </xf>
    <xf numFmtId="49" fontId="1" fillId="0" borderId="46" xfId="8" applyNumberFormat="1" applyBorder="1"/>
    <xf numFmtId="49" fontId="1" fillId="0" borderId="47" xfId="8" applyNumberFormat="1" applyBorder="1"/>
    <xf numFmtId="0" fontId="1" fillId="0" borderId="47" xfId="8" applyBorder="1"/>
    <xf numFmtId="0" fontId="1" fillId="0" borderId="4" xfId="8" applyBorder="1"/>
    <xf numFmtId="0" fontId="1" fillId="0" borderId="3" xfId="8" applyBorder="1"/>
    <xf numFmtId="3" fontId="18" fillId="0" borderId="2" xfId="6" applyNumberFormat="1" applyFont="1" applyFill="1" applyBorder="1" applyAlignment="1" applyProtection="1">
      <alignment vertical="center"/>
    </xf>
    <xf numFmtId="3" fontId="38" fillId="0" borderId="4" xfId="8" applyNumberFormat="1" applyFont="1" applyBorder="1" applyAlignment="1">
      <alignment horizontal="right" vertical="center" wrapText="1" indent="1"/>
    </xf>
    <xf numFmtId="3" fontId="38" fillId="0" borderId="2" xfId="8" applyNumberFormat="1" applyFont="1" applyBorder="1" applyAlignment="1">
      <alignment horizontal="right" vertical="center" wrapText="1" indent="1"/>
    </xf>
    <xf numFmtId="3" fontId="38" fillId="0" borderId="2" xfId="8" applyNumberFormat="1" applyFont="1" applyBorder="1" applyAlignment="1">
      <alignment horizontal="right" vertical="center" wrapText="1"/>
    </xf>
    <xf numFmtId="9" fontId="38" fillId="0" borderId="3" xfId="2" applyFont="1" applyBorder="1" applyAlignment="1" applyProtection="1">
      <alignment horizontal="right" vertical="center" wrapText="1"/>
    </xf>
    <xf numFmtId="174" fontId="21" fillId="7" borderId="2" xfId="0" applyNumberFormat="1" applyFont="1" applyFill="1" applyBorder="1" applyAlignment="1">
      <alignment horizontal="right" vertical="center" indent="1"/>
    </xf>
    <xf numFmtId="10" fontId="21" fillId="13" borderId="2" xfId="2" applyNumberFormat="1" applyFont="1" applyFill="1" applyBorder="1" applyAlignment="1" applyProtection="1">
      <alignment horizontal="right" vertical="center" indent="1"/>
    </xf>
    <xf numFmtId="0" fontId="40" fillId="0" borderId="4" xfId="8" applyFont="1" applyBorder="1"/>
    <xf numFmtId="0" fontId="40" fillId="0" borderId="2" xfId="8" applyFont="1" applyBorder="1"/>
    <xf numFmtId="0" fontId="40" fillId="0" borderId="3" xfId="8" applyFont="1" applyBorder="1"/>
    <xf numFmtId="0" fontId="32" fillId="0" borderId="4" xfId="8" applyFont="1" applyBorder="1" applyAlignment="1">
      <alignment horizontal="center"/>
    </xf>
    <xf numFmtId="0" fontId="32" fillId="0" borderId="2" xfId="8" applyFont="1" applyBorder="1" applyAlignment="1">
      <alignment horizontal="center"/>
    </xf>
    <xf numFmtId="0" fontId="41" fillId="0" borderId="2" xfId="8" applyFont="1" applyBorder="1"/>
    <xf numFmtId="0" fontId="27" fillId="0" borderId="2" xfId="0" applyFont="1" applyBorder="1" applyAlignment="1">
      <alignment horizontal="right"/>
    </xf>
    <xf numFmtId="0" fontId="27" fillId="0" borderId="2" xfId="0" applyFont="1" applyBorder="1" applyAlignment="1">
      <alignment horizontal="left"/>
    </xf>
    <xf numFmtId="0" fontId="22" fillId="4" borderId="2" xfId="0" applyFont="1" applyFill="1" applyBorder="1" applyAlignment="1">
      <alignment horizontal="center" vertical="center"/>
    </xf>
    <xf numFmtId="49" fontId="1" fillId="0" borderId="4" xfId="8" applyNumberFormat="1" applyBorder="1"/>
    <xf numFmtId="49" fontId="1" fillId="0" borderId="2" xfId="8" applyNumberFormat="1" applyBorder="1"/>
    <xf numFmtId="0" fontId="38" fillId="0" borderId="4" xfId="8" applyFont="1" applyBorder="1" applyAlignment="1" applyProtection="1">
      <alignment horizontal="left" vertical="center" wrapText="1" indent="1"/>
      <protection locked="0"/>
    </xf>
    <xf numFmtId="0" fontId="38" fillId="0" borderId="2" xfId="8" applyFont="1" applyBorder="1" applyAlignment="1" applyProtection="1">
      <alignment horizontal="left" vertical="center" wrapText="1" indent="1"/>
      <protection locked="0"/>
    </xf>
    <xf numFmtId="168" fontId="38" fillId="0" borderId="2" xfId="8" applyNumberFormat="1" applyFont="1" applyBorder="1" applyAlignment="1" applyProtection="1">
      <alignment horizontal="right" vertical="center" wrapText="1"/>
      <protection locked="0"/>
    </xf>
    <xf numFmtId="168" fontId="39" fillId="0" borderId="2" xfId="8" applyNumberFormat="1" applyFont="1" applyBorder="1" applyAlignment="1" applyProtection="1">
      <alignment horizontal="right" vertical="center" wrapText="1"/>
      <protection locked="0"/>
    </xf>
    <xf numFmtId="169" fontId="39" fillId="0" borderId="3" xfId="8" applyNumberFormat="1" applyFont="1" applyBorder="1" applyAlignment="1" applyProtection="1">
      <alignment horizontal="right" vertical="center" wrapText="1"/>
      <protection locked="0"/>
    </xf>
    <xf numFmtId="3" fontId="1" fillId="0" borderId="4" xfId="8" applyNumberFormat="1" applyBorder="1"/>
    <xf numFmtId="3" fontId="1" fillId="0" borderId="2" xfId="8" applyNumberFormat="1" applyBorder="1"/>
    <xf numFmtId="3" fontId="21" fillId="7" borderId="2" xfId="2" applyNumberFormat="1" applyFont="1" applyFill="1" applyBorder="1" applyAlignment="1" applyProtection="1">
      <alignment horizontal="right" vertical="center" indent="1"/>
    </xf>
    <xf numFmtId="3" fontId="36" fillId="0" borderId="2" xfId="8" applyNumberFormat="1" applyFont="1" applyBorder="1" applyAlignment="1">
      <alignment horizontal="right" vertical="center" wrapText="1"/>
    </xf>
    <xf numFmtId="0" fontId="3" fillId="0" borderId="34" xfId="8" applyFont="1" applyBorder="1" applyAlignment="1">
      <alignment horizontal="center"/>
    </xf>
    <xf numFmtId="0" fontId="1" fillId="0" borderId="34" xfId="8" applyBorder="1"/>
    <xf numFmtId="0" fontId="27" fillId="0" borderId="34" xfId="0" applyFont="1" applyBorder="1" applyAlignment="1">
      <alignment horizontal="right"/>
    </xf>
    <xf numFmtId="0" fontId="27" fillId="0" borderId="34" xfId="0" applyFont="1" applyBorder="1" applyAlignment="1">
      <alignment horizontal="left"/>
    </xf>
    <xf numFmtId="0" fontId="0" fillId="0" borderId="0" xfId="0" applyBorder="1" applyProtection="1">
      <protection locked="0"/>
    </xf>
    <xf numFmtId="0" fontId="20" fillId="0" borderId="0" xfId="0" applyFont="1" applyBorder="1" applyProtection="1">
      <protection locked="0"/>
    </xf>
    <xf numFmtId="172" fontId="17" fillId="6" borderId="49" xfId="1" applyNumberFormat="1" applyFont="1" applyFill="1" applyBorder="1" applyAlignment="1" applyProtection="1">
      <alignment vertical="center"/>
      <protection locked="0"/>
    </xf>
    <xf numFmtId="172" fontId="17" fillId="6" borderId="4" xfId="1" applyNumberFormat="1" applyFont="1" applyFill="1" applyBorder="1" applyAlignment="1" applyProtection="1">
      <alignment vertical="center"/>
      <protection locked="0"/>
    </xf>
    <xf numFmtId="172" fontId="17" fillId="6" borderId="42" xfId="1" applyNumberFormat="1" applyFont="1" applyFill="1" applyBorder="1" applyAlignment="1" applyProtection="1">
      <alignment vertical="center"/>
      <protection locked="0"/>
    </xf>
    <xf numFmtId="0" fontId="9" fillId="0" borderId="0" xfId="7" applyBorder="1"/>
    <xf numFmtId="49" fontId="17" fillId="6" borderId="3" xfId="5" applyNumberFormat="1" applyFont="1" applyFill="1" applyBorder="1" applyAlignment="1">
      <alignment horizontal="left" vertical="top" wrapText="1"/>
      <protection locked="0"/>
    </xf>
    <xf numFmtId="171" fontId="55" fillId="6" borderId="2" xfId="12" applyNumberFormat="1" applyFont="1" applyFill="1" applyBorder="1" applyAlignment="1" applyProtection="1">
      <alignment vertical="center"/>
    </xf>
    <xf numFmtId="166" fontId="18" fillId="0" borderId="2" xfId="6" applyNumberFormat="1" applyFont="1" applyFill="1" applyBorder="1" applyAlignment="1" applyProtection="1">
      <alignment vertical="center"/>
      <protection locked="0"/>
    </xf>
    <xf numFmtId="2" fontId="17" fillId="6" borderId="50" xfId="5" applyNumberFormat="1" applyFont="1" applyFill="1" applyBorder="1" applyAlignment="1" applyProtection="1">
      <alignment horizontal="center" vertical="center" wrapText="1"/>
    </xf>
    <xf numFmtId="2" fontId="17" fillId="6" borderId="44" xfId="5" applyNumberFormat="1" applyFont="1" applyFill="1" applyBorder="1" applyAlignment="1" applyProtection="1">
      <alignment horizontal="center" vertical="center" wrapText="1"/>
    </xf>
    <xf numFmtId="0" fontId="22" fillId="8" borderId="2" xfId="0" applyFont="1" applyFill="1" applyBorder="1" applyAlignment="1">
      <alignment horizontal="center" vertical="center"/>
    </xf>
    <xf numFmtId="3" fontId="40" fillId="0" borderId="2" xfId="8" applyNumberFormat="1" applyFont="1" applyBorder="1"/>
    <xf numFmtId="175" fontId="18" fillId="0" borderId="0" xfId="0" applyNumberFormat="1" applyFont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10" fontId="18" fillId="12" borderId="2" xfId="2" applyNumberFormat="1" applyFont="1" applyFill="1" applyBorder="1" applyAlignment="1" applyProtection="1">
      <alignment horizontal="center" vertical="center"/>
      <protection locked="0"/>
    </xf>
    <xf numFmtId="10" fontId="18" fillId="12" borderId="3" xfId="2" applyNumberFormat="1" applyFont="1" applyFill="1" applyBorder="1" applyAlignment="1" applyProtection="1">
      <alignment horizontal="center" vertical="center"/>
      <protection locked="0"/>
    </xf>
    <xf numFmtId="0" fontId="20" fillId="0" borderId="17" xfId="0" applyFont="1" applyBorder="1" applyAlignment="1">
      <alignment horizontal="center"/>
    </xf>
    <xf numFmtId="10" fontId="18" fillId="0" borderId="44" xfId="2" applyNumberFormat="1" applyFont="1" applyFill="1" applyBorder="1" applyAlignment="1" applyProtection="1">
      <alignment horizontal="center" vertical="center"/>
      <protection locked="0"/>
    </xf>
    <xf numFmtId="10" fontId="18" fillId="0" borderId="48" xfId="2" applyNumberFormat="1" applyFont="1" applyFill="1" applyBorder="1" applyAlignment="1" applyProtection="1">
      <alignment horizontal="center" vertical="center"/>
      <protection locked="0"/>
    </xf>
    <xf numFmtId="10" fontId="18" fillId="0" borderId="34" xfId="2" applyNumberFormat="1" applyFont="1" applyFill="1" applyBorder="1" applyAlignment="1" applyProtection="1">
      <alignment horizontal="center" vertical="center"/>
      <protection locked="0"/>
    </xf>
    <xf numFmtId="10" fontId="18" fillId="0" borderId="6" xfId="2" applyNumberFormat="1" applyFont="1" applyFill="1" applyBorder="1" applyAlignment="1" applyProtection="1">
      <alignment horizontal="center" vertical="center"/>
      <protection locked="0"/>
    </xf>
    <xf numFmtId="171" fontId="17" fillId="0" borderId="0" xfId="12" applyNumberFormat="1" applyFont="1" applyAlignment="1">
      <alignment horizontal="right" vertical="center"/>
    </xf>
    <xf numFmtId="172" fontId="18" fillId="0" borderId="2" xfId="1" applyNumberFormat="1" applyFont="1" applyFill="1" applyBorder="1" applyAlignment="1">
      <alignment vertical="center"/>
    </xf>
    <xf numFmtId="0" fontId="15" fillId="11" borderId="0" xfId="7" applyFont="1" applyFill="1"/>
    <xf numFmtId="0" fontId="49" fillId="11" borderId="0" xfId="7" applyFont="1" applyFill="1" applyAlignment="1">
      <alignment horizontal="left" indent="1"/>
    </xf>
    <xf numFmtId="0" fontId="68" fillId="0" borderId="0" xfId="0" applyFont="1" applyAlignment="1">
      <alignment vertical="center"/>
    </xf>
    <xf numFmtId="49" fontId="17" fillId="3" borderId="3" xfId="5" applyNumberFormat="1" applyFont="1" applyFill="1" applyBorder="1" applyAlignment="1" applyProtection="1">
      <alignment horizontal="left" vertical="top"/>
    </xf>
    <xf numFmtId="49" fontId="17" fillId="0" borderId="3" xfId="5" applyNumberFormat="1" applyFont="1" applyBorder="1" applyAlignment="1" applyProtection="1">
      <alignment horizontal="right" vertical="center" wrapText="1"/>
    </xf>
    <xf numFmtId="49" fontId="17" fillId="3" borderId="3" xfId="5" applyNumberFormat="1" applyFont="1" applyFill="1" applyBorder="1" applyAlignment="1" applyProtection="1">
      <alignment horizontal="left" vertical="top" wrapText="1"/>
    </xf>
    <xf numFmtId="49" fontId="15" fillId="0" borderId="3" xfId="5" applyNumberFormat="1" applyFont="1" applyBorder="1" applyAlignment="1" applyProtection="1">
      <alignment horizontal="right" vertical="center"/>
    </xf>
    <xf numFmtId="49" fontId="15" fillId="0" borderId="3" xfId="5" applyNumberFormat="1" applyFont="1" applyBorder="1" applyAlignment="1" applyProtection="1">
      <alignment horizontal="right" vertical="top"/>
    </xf>
    <xf numFmtId="49" fontId="15" fillId="0" borderId="3" xfId="5" applyNumberFormat="1" applyFont="1" applyBorder="1" applyAlignment="1" applyProtection="1">
      <alignment horizontal="right" vertical="top" wrapText="1"/>
    </xf>
    <xf numFmtId="0" fontId="0" fillId="0" borderId="2" xfId="0" applyBorder="1" applyProtection="1">
      <protection locked="0"/>
    </xf>
    <xf numFmtId="0" fontId="0" fillId="0" borderId="2" xfId="0" applyBorder="1"/>
    <xf numFmtId="49" fontId="19" fillId="6" borderId="3" xfId="5" applyNumberFormat="1" applyFont="1" applyFill="1" applyBorder="1" applyAlignment="1">
      <alignment horizontal="left" vertical="top" wrapText="1"/>
      <protection locked="0"/>
    </xf>
    <xf numFmtId="49" fontId="19" fillId="6" borderId="3" xfId="5" applyNumberFormat="1" applyFont="1" applyFill="1" applyBorder="1" applyAlignment="1" applyProtection="1">
      <alignment horizontal="left" vertical="top" wrapText="1"/>
    </xf>
    <xf numFmtId="49" fontId="17" fillId="6" borderId="3" xfId="5" applyNumberFormat="1" applyFont="1" applyFill="1" applyBorder="1" applyAlignment="1" applyProtection="1">
      <alignment horizontal="left" vertical="top" wrapText="1"/>
    </xf>
    <xf numFmtId="49" fontId="17" fillId="0" borderId="3" xfId="5" applyNumberFormat="1" applyFont="1" applyBorder="1" applyAlignment="1" applyProtection="1">
      <alignment horizontal="left" vertical="top" wrapText="1"/>
    </xf>
    <xf numFmtId="172" fontId="18" fillId="12" borderId="2" xfId="1" applyNumberFormat="1" applyFont="1" applyFill="1" applyBorder="1" applyAlignment="1" applyProtection="1">
      <alignment vertical="center"/>
      <protection locked="0"/>
    </xf>
    <xf numFmtId="172" fontId="15" fillId="0" borderId="2" xfId="1" applyNumberFormat="1" applyFont="1" applyBorder="1" applyAlignment="1" applyProtection="1">
      <alignment horizontal="right" vertical="center" wrapText="1"/>
    </xf>
    <xf numFmtId="172" fontId="15" fillId="0" borderId="2" xfId="1" applyNumberFormat="1" applyFont="1" applyBorder="1" applyAlignment="1" applyProtection="1">
      <alignment horizontal="right" vertical="center"/>
    </xf>
    <xf numFmtId="172" fontId="18" fillId="0" borderId="14" xfId="1" applyNumberFormat="1" applyFont="1" applyFill="1" applyBorder="1" applyAlignment="1" applyProtection="1">
      <alignment vertical="center"/>
      <protection locked="0"/>
    </xf>
    <xf numFmtId="49" fontId="17" fillId="10" borderId="3" xfId="5" applyNumberFormat="1" applyFont="1" applyFill="1" applyBorder="1" applyAlignment="1" applyProtection="1">
      <alignment horizontal="left" vertical="center" wrapText="1" indent="3"/>
    </xf>
    <xf numFmtId="49" fontId="17" fillId="6" borderId="3" xfId="5" applyNumberFormat="1" applyFont="1" applyFill="1" applyBorder="1" applyAlignment="1">
      <alignment horizontal="left" vertical="top" wrapText="1" indent="3"/>
      <protection locked="0"/>
    </xf>
    <xf numFmtId="49" fontId="17" fillId="3" borderId="3" xfId="5" applyNumberFormat="1" applyFont="1" applyFill="1" applyBorder="1" applyAlignment="1" applyProtection="1">
      <alignment horizontal="left" vertical="center" wrapText="1"/>
    </xf>
    <xf numFmtId="49" fontId="17" fillId="6" borderId="3" xfId="5" applyNumberFormat="1" applyFont="1" applyFill="1" applyBorder="1" applyAlignment="1" applyProtection="1">
      <alignment horizontal="left" vertical="top" wrapText="1" indent="3"/>
    </xf>
    <xf numFmtId="3" fontId="38" fillId="0" borderId="2" xfId="8" applyNumberFormat="1" applyFont="1" applyBorder="1" applyAlignment="1">
      <alignment horizontal="left" vertical="center" wrapText="1" indent="1"/>
    </xf>
    <xf numFmtId="3" fontId="38" fillId="0" borderId="2" xfId="2" applyNumberFormat="1" applyFont="1" applyBorder="1" applyAlignment="1" applyProtection="1">
      <alignment horizontal="left" vertical="center" wrapText="1" indent="1"/>
    </xf>
    <xf numFmtId="3" fontId="38" fillId="0" borderId="2" xfId="2" applyNumberFormat="1" applyFont="1" applyBorder="1" applyAlignment="1" applyProtection="1">
      <alignment horizontal="left" vertical="center" indent="2"/>
    </xf>
    <xf numFmtId="167" fontId="38" fillId="0" borderId="2" xfId="2" applyNumberFormat="1" applyFont="1" applyBorder="1" applyAlignment="1" applyProtection="1">
      <alignment horizontal="left" vertical="center" indent="2"/>
    </xf>
    <xf numFmtId="3" fontId="17" fillId="3" borderId="6" xfId="5" applyNumberFormat="1" applyFont="1" applyFill="1" applyBorder="1" applyAlignment="1" applyProtection="1">
      <alignment horizontal="right" vertical="center"/>
    </xf>
    <xf numFmtId="3" fontId="21" fillId="7" borderId="3" xfId="0" applyNumberFormat="1" applyFont="1" applyFill="1" applyBorder="1" applyAlignment="1">
      <alignment horizontal="right" vertical="center" indent="1"/>
    </xf>
    <xf numFmtId="3" fontId="18" fillId="0" borderId="38" xfId="6" applyNumberFormat="1" applyFont="1" applyFill="1" applyBorder="1" applyAlignment="1" applyProtection="1">
      <alignment vertical="center"/>
      <protection locked="0"/>
    </xf>
    <xf numFmtId="3" fontId="18" fillId="6" borderId="6" xfId="6" applyNumberFormat="1" applyFont="1" applyFill="1" applyBorder="1" applyAlignment="1" applyProtection="1">
      <alignment vertical="center"/>
    </xf>
    <xf numFmtId="0" fontId="1" fillId="11" borderId="2" xfId="8" applyFill="1" applyBorder="1"/>
    <xf numFmtId="9" fontId="38" fillId="0" borderId="2" xfId="2" applyFont="1" applyBorder="1" applyAlignment="1" applyProtection="1">
      <alignment horizontal="right" vertical="center" wrapText="1"/>
    </xf>
    <xf numFmtId="0" fontId="51" fillId="0" borderId="0" xfId="0" applyFont="1" applyAlignment="1">
      <alignment horizontal="left"/>
    </xf>
    <xf numFmtId="0" fontId="12" fillId="4" borderId="23" xfId="7" applyFont="1" applyFill="1" applyBorder="1" applyAlignment="1">
      <alignment horizontal="left" vertical="center" indent="1"/>
    </xf>
    <xf numFmtId="0" fontId="12" fillId="4" borderId="24" xfId="7" applyFont="1" applyFill="1" applyBorder="1" applyAlignment="1">
      <alignment horizontal="left" vertical="center" indent="1"/>
    </xf>
    <xf numFmtId="0" fontId="12" fillId="4" borderId="25" xfId="7" applyFont="1" applyFill="1" applyBorder="1" applyAlignment="1">
      <alignment horizontal="left" vertical="center" indent="1"/>
    </xf>
    <xf numFmtId="0" fontId="13" fillId="0" borderId="26" xfId="7" applyFont="1" applyBorder="1" applyAlignment="1">
      <alignment horizontal="left" vertical="center" wrapText="1"/>
    </xf>
    <xf numFmtId="0" fontId="13" fillId="0" borderId="0" xfId="7" applyFont="1" applyBorder="1" applyAlignment="1">
      <alignment horizontal="left" vertical="center" wrapText="1"/>
    </xf>
    <xf numFmtId="0" fontId="13" fillId="0" borderId="27" xfId="7" applyFont="1" applyBorder="1" applyAlignment="1">
      <alignment horizontal="left" vertical="center" wrapText="1"/>
    </xf>
    <xf numFmtId="0" fontId="13" fillId="0" borderId="0" xfId="7" applyFont="1" applyAlignment="1">
      <alignment horizontal="left" vertical="center" wrapText="1"/>
    </xf>
    <xf numFmtId="0" fontId="13" fillId="0" borderId="26" xfId="7" applyFont="1" applyBorder="1" applyAlignment="1">
      <alignment horizontal="left" vertical="top" wrapText="1"/>
    </xf>
    <xf numFmtId="0" fontId="13" fillId="0" borderId="0" xfId="7" applyFont="1" applyAlignment="1">
      <alignment horizontal="left" vertical="top" wrapText="1"/>
    </xf>
    <xf numFmtId="0" fontId="13" fillId="5" borderId="0" xfId="7" applyFont="1" applyFill="1" applyAlignment="1">
      <alignment horizontal="left" vertical="center"/>
    </xf>
    <xf numFmtId="0" fontId="13" fillId="0" borderId="26" xfId="7" applyFont="1" applyBorder="1" applyAlignment="1">
      <alignment horizontal="left" vertical="top" wrapText="1" indent="5"/>
    </xf>
    <xf numFmtId="0" fontId="13" fillId="0" borderId="0" xfId="7" applyFont="1" applyAlignment="1">
      <alignment horizontal="left" vertical="top" wrapText="1" indent="5"/>
    </xf>
    <xf numFmtId="0" fontId="17" fillId="0" borderId="0" xfId="7" applyFont="1" applyAlignment="1">
      <alignment horizontal="left" vertical="top" wrapText="1" indent="5"/>
    </xf>
    <xf numFmtId="0" fontId="21" fillId="7" borderId="2" xfId="0" applyFont="1" applyFill="1" applyBorder="1" applyAlignment="1" applyProtection="1">
      <alignment horizontal="center" vertical="center" wrapText="1"/>
      <protection locked="0"/>
    </xf>
    <xf numFmtId="0" fontId="21" fillId="7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14" fillId="8" borderId="2" xfId="5" applyFont="1" applyFill="1" applyBorder="1" applyAlignment="1" applyProtection="1">
      <alignment horizontal="left" vertical="center"/>
    </xf>
    <xf numFmtId="0" fontId="24" fillId="8" borderId="3" xfId="5" applyFont="1" applyFill="1" applyBorder="1" applyAlignment="1" applyProtection="1">
      <alignment horizontal="left" vertical="center"/>
    </xf>
    <xf numFmtId="0" fontId="21" fillId="7" borderId="3" xfId="0" applyFont="1" applyFill="1" applyBorder="1" applyAlignment="1" applyProtection="1">
      <alignment horizontal="center" vertical="center"/>
      <protection locked="0"/>
    </xf>
    <xf numFmtId="0" fontId="21" fillId="7" borderId="13" xfId="0" applyFont="1" applyFill="1" applyBorder="1" applyAlignment="1" applyProtection="1">
      <alignment horizontal="center" vertical="center"/>
      <protection locked="0"/>
    </xf>
    <xf numFmtId="0" fontId="21" fillId="7" borderId="2" xfId="0" applyFont="1" applyFill="1" applyBorder="1" applyAlignment="1">
      <alignment horizontal="left" vertical="center" wrapText="1"/>
    </xf>
    <xf numFmtId="0" fontId="21" fillId="7" borderId="3" xfId="0" applyFont="1" applyFill="1" applyBorder="1" applyAlignment="1">
      <alignment horizontal="left" vertical="center" wrapText="1"/>
    </xf>
    <xf numFmtId="0" fontId="21" fillId="7" borderId="13" xfId="0" applyFont="1" applyFill="1" applyBorder="1" applyAlignment="1">
      <alignment horizontal="left" vertical="center" wrapText="1"/>
    </xf>
    <xf numFmtId="0" fontId="24" fillId="8" borderId="3" xfId="5" applyFont="1" applyFill="1" applyBorder="1" applyAlignment="1">
      <alignment horizontal="left" vertical="center"/>
      <protection locked="0"/>
    </xf>
    <xf numFmtId="0" fontId="21" fillId="7" borderId="6" xfId="0" applyFont="1" applyFill="1" applyBorder="1" applyAlignment="1" applyProtection="1">
      <alignment horizontal="center" vertical="center"/>
      <protection locked="0"/>
    </xf>
    <xf numFmtId="0" fontId="21" fillId="7" borderId="3" xfId="0" applyFont="1" applyFill="1" applyBorder="1" applyAlignment="1" applyProtection="1">
      <alignment horizontal="left" vertical="center"/>
      <protection locked="0"/>
    </xf>
    <xf numFmtId="0" fontId="21" fillId="7" borderId="4" xfId="0" applyFont="1" applyFill="1" applyBorder="1" applyAlignment="1" applyProtection="1">
      <alignment horizontal="left" vertical="center"/>
      <protection locked="0"/>
    </xf>
    <xf numFmtId="0" fontId="14" fillId="8" borderId="2" xfId="5" applyFont="1" applyFill="1" applyBorder="1" applyAlignment="1">
      <alignment horizontal="left" vertical="center"/>
      <protection locked="0"/>
    </xf>
    <xf numFmtId="0" fontId="24" fillId="8" borderId="2" xfId="5" applyFont="1" applyFill="1" applyBorder="1" applyAlignment="1">
      <alignment horizontal="left" vertical="center"/>
      <protection locked="0"/>
    </xf>
    <xf numFmtId="0" fontId="21" fillId="7" borderId="4" xfId="0" applyFont="1" applyFill="1" applyBorder="1" applyAlignment="1" applyProtection="1">
      <alignment horizontal="center" vertical="center"/>
      <protection locked="0"/>
    </xf>
    <xf numFmtId="49" fontId="56" fillId="0" borderId="0" xfId="8" applyNumberFormat="1" applyFont="1" applyAlignment="1" applyProtection="1">
      <alignment horizontal="left" vertical="top" wrapText="1"/>
      <protection locked="0"/>
    </xf>
    <xf numFmtId="0" fontId="14" fillId="8" borderId="3" xfId="5" applyFont="1" applyFill="1" applyBorder="1" applyAlignment="1" applyProtection="1">
      <alignment horizontal="left" vertical="center"/>
    </xf>
    <xf numFmtId="0" fontId="22" fillId="8" borderId="2" xfId="0" applyFont="1" applyFill="1" applyBorder="1" applyAlignment="1">
      <alignment horizontal="center" vertical="center"/>
    </xf>
    <xf numFmtId="0" fontId="42" fillId="0" borderId="0" xfId="8" applyFont="1" applyAlignment="1">
      <alignment horizontal="left" wrapText="1"/>
    </xf>
    <xf numFmtId="0" fontId="14" fillId="8" borderId="3" xfId="5" applyFont="1" applyFill="1" applyBorder="1" applyAlignment="1" applyProtection="1">
      <alignment horizontal="center" vertical="center"/>
    </xf>
    <xf numFmtId="0" fontId="14" fillId="8" borderId="13" xfId="5" applyFont="1" applyFill="1" applyBorder="1" applyAlignment="1" applyProtection="1">
      <alignment horizontal="center" vertical="center"/>
    </xf>
    <xf numFmtId="0" fontId="14" fillId="8" borderId="4" xfId="5" applyFont="1" applyFill="1" applyBorder="1" applyAlignment="1" applyProtection="1">
      <alignment horizontal="center" vertical="center"/>
    </xf>
    <xf numFmtId="2" fontId="14" fillId="8" borderId="2" xfId="5" applyNumberFormat="1" applyFont="1" applyFill="1" applyBorder="1" applyAlignment="1" applyProtection="1">
      <alignment horizontal="center" vertical="center" wrapText="1"/>
    </xf>
    <xf numFmtId="2" fontId="14" fillId="15" borderId="3" xfId="5" applyNumberFormat="1" applyFont="1" applyFill="1" applyBorder="1" applyAlignment="1" applyProtection="1">
      <alignment horizontal="center" vertical="center" wrapText="1"/>
    </xf>
    <xf numFmtId="2" fontId="14" fillId="15" borderId="13" xfId="5" applyNumberFormat="1" applyFont="1" applyFill="1" applyBorder="1" applyAlignment="1" applyProtection="1">
      <alignment horizontal="center" vertical="center" wrapText="1"/>
    </xf>
    <xf numFmtId="2" fontId="14" fillId="15" borderId="4" xfId="5" applyNumberFormat="1" applyFont="1" applyFill="1" applyBorder="1" applyAlignment="1" applyProtection="1">
      <alignment horizontal="center" vertical="center" wrapText="1"/>
    </xf>
    <xf numFmtId="0" fontId="52" fillId="15" borderId="3" xfId="5" quotePrefix="1" applyFont="1" applyFill="1" applyBorder="1" applyAlignment="1" applyProtection="1">
      <alignment horizontal="center" vertical="center"/>
    </xf>
    <xf numFmtId="0" fontId="52" fillId="15" borderId="13" xfId="5" quotePrefix="1" applyFont="1" applyFill="1" applyBorder="1" applyAlignment="1" applyProtection="1">
      <alignment horizontal="center" vertical="center"/>
    </xf>
    <xf numFmtId="0" fontId="52" fillId="15" borderId="4" xfId="5" quotePrefix="1" applyFont="1" applyFill="1" applyBorder="1" applyAlignment="1" applyProtection="1">
      <alignment horizontal="center" vertical="center"/>
    </xf>
    <xf numFmtId="0" fontId="45" fillId="8" borderId="5" xfId="5" applyFont="1" applyFill="1" applyBorder="1" applyAlignment="1">
      <alignment horizontal="center" vertical="center" wrapText="1"/>
      <protection locked="0"/>
    </xf>
    <xf numFmtId="0" fontId="45" fillId="8" borderId="34" xfId="5" applyFont="1" applyFill="1" applyBorder="1" applyAlignment="1">
      <alignment horizontal="center" vertical="center" wrapText="1"/>
      <protection locked="0"/>
    </xf>
    <xf numFmtId="0" fontId="24" fillId="8" borderId="3" xfId="5" applyFont="1" applyFill="1" applyBorder="1" applyAlignment="1">
      <alignment horizontal="center" vertical="center" wrapText="1"/>
      <protection locked="0"/>
    </xf>
    <xf numFmtId="0" fontId="24" fillId="8" borderId="13" xfId="5" applyFont="1" applyFill="1" applyBorder="1" applyAlignment="1">
      <alignment horizontal="center" vertical="center" wrapText="1"/>
      <protection locked="0"/>
    </xf>
    <xf numFmtId="0" fontId="24" fillId="8" borderId="3" xfId="5" applyFont="1" applyFill="1" applyBorder="1" applyAlignment="1">
      <alignment horizontal="center" vertical="center"/>
      <protection locked="0"/>
    </xf>
    <xf numFmtId="0" fontId="24" fillId="8" borderId="13" xfId="5" applyFont="1" applyFill="1" applyBorder="1" applyAlignment="1">
      <alignment horizontal="center" vertical="center"/>
      <protection locked="0"/>
    </xf>
    <xf numFmtId="0" fontId="24" fillId="8" borderId="4" xfId="5" applyFont="1" applyFill="1" applyBorder="1" applyAlignment="1">
      <alignment horizontal="center" vertical="center"/>
      <protection locked="0"/>
    </xf>
    <xf numFmtId="0" fontId="24" fillId="8" borderId="37" xfId="5" applyFont="1" applyFill="1" applyBorder="1" applyAlignment="1">
      <alignment horizontal="center" vertical="center"/>
      <protection locked="0"/>
    </xf>
    <xf numFmtId="0" fontId="24" fillId="8" borderId="35" xfId="5" applyFont="1" applyFill="1" applyBorder="1" applyAlignment="1">
      <alignment horizontal="center" vertical="center"/>
      <protection locked="0"/>
    </xf>
    <xf numFmtId="0" fontId="24" fillId="8" borderId="5" xfId="5" applyFont="1" applyFill="1" applyBorder="1" applyAlignment="1">
      <alignment horizontal="center" vertical="center"/>
      <protection locked="0"/>
    </xf>
    <xf numFmtId="0" fontId="24" fillId="8" borderId="34" xfId="5" applyFont="1" applyFill="1" applyBorder="1" applyAlignment="1">
      <alignment horizontal="center" vertical="center"/>
      <protection locked="0"/>
    </xf>
    <xf numFmtId="0" fontId="11" fillId="11" borderId="26" xfId="7" applyFont="1" applyFill="1" applyBorder="1"/>
    <xf numFmtId="170" fontId="17" fillId="6" borderId="4" xfId="5" applyNumberFormat="1" applyFont="1" applyFill="1" applyBorder="1" applyAlignment="1" applyProtection="1">
      <alignment horizontal="center" vertical="center" wrapText="1"/>
    </xf>
  </cellXfs>
  <cellStyles count="13">
    <cellStyle name="60% - Cor3" xfId="3" builtinId="40"/>
    <cellStyle name="Moeda" xfId="1" builtinId="4"/>
    <cellStyle name="Moeda 2" xfId="6" xr:uid="{00000000-0005-0000-0000-000002000000}"/>
    <cellStyle name="Normal" xfId="0" builtinId="0"/>
    <cellStyle name="Normal 11 2" xfId="10" xr:uid="{00000000-0005-0000-0000-000004000000}"/>
    <cellStyle name="Normal 2" xfId="5" xr:uid="{00000000-0005-0000-0000-000005000000}"/>
    <cellStyle name="Normal 3" xfId="4" xr:uid="{00000000-0005-0000-0000-000006000000}"/>
    <cellStyle name="Normal 3 2" xfId="7" xr:uid="{00000000-0005-0000-0000-000007000000}"/>
    <cellStyle name="Normal 3 3" xfId="11" xr:uid="{00000000-0005-0000-0000-000008000000}"/>
    <cellStyle name="Normal 5" xfId="8" xr:uid="{00000000-0005-0000-0000-000009000000}"/>
    <cellStyle name="Percentagem" xfId="2" builtinId="5"/>
    <cellStyle name="Percentagem 3" xfId="9" xr:uid="{00000000-0005-0000-0000-00000B000000}"/>
    <cellStyle name="Vírgula" xfId="12" builtinId="3"/>
  </cellStyles>
  <dxfs count="9"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0000"/>
      </font>
    </dxf>
  </dxfs>
  <tableStyles count="0" defaultTableStyle="TableStyleMedium2" defaultPivotStyle="PivotStyleLight16"/>
  <colors>
    <mruColors>
      <color rgb="FFFF9B9B"/>
      <color rgb="FFFF0505"/>
      <color rgb="FFFFDC79"/>
      <color rgb="FF76933C"/>
      <color rgb="FFE5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R&#225;cios Financeiros'!A1"/><Relationship Id="rId13" Type="http://schemas.openxmlformats.org/officeDocument/2006/relationships/hyperlink" Target="#Investimentos!A1"/><Relationship Id="rId3" Type="http://schemas.openxmlformats.org/officeDocument/2006/relationships/image" Target="../media/image2.svg"/><Relationship Id="rId7" Type="http://schemas.openxmlformats.org/officeDocument/2006/relationships/hyperlink" Target="#DFC!A1"/><Relationship Id="rId12" Type="http://schemas.openxmlformats.org/officeDocument/2006/relationships/hyperlink" Target="#'Quadro Resumo'!A1"/><Relationship Id="rId2" Type="http://schemas.openxmlformats.org/officeDocument/2006/relationships/image" Target="../media/image1.png"/><Relationship Id="rId1" Type="http://schemas.openxmlformats.org/officeDocument/2006/relationships/hyperlink" Target="#Instru&#231;&#245;es!A1"/><Relationship Id="rId6" Type="http://schemas.openxmlformats.org/officeDocument/2006/relationships/hyperlink" Target="#DR!A1"/><Relationship Id="rId11" Type="http://schemas.openxmlformats.org/officeDocument/2006/relationships/hyperlink" Target="#Outros!A1"/><Relationship Id="rId5" Type="http://schemas.openxmlformats.org/officeDocument/2006/relationships/hyperlink" Target="#BAL!A1"/><Relationship Id="rId10" Type="http://schemas.openxmlformats.org/officeDocument/2006/relationships/hyperlink" Target="#'Mapa RH'!A1"/><Relationship Id="rId4" Type="http://schemas.openxmlformats.org/officeDocument/2006/relationships/hyperlink" Target="#Resumo!A1"/><Relationship Id="rId9" Type="http://schemas.openxmlformats.org/officeDocument/2006/relationships/hyperlink" Target="#RH!A1"/><Relationship Id="rId14" Type="http://schemas.openxmlformats.org/officeDocument/2006/relationships/hyperlink" Target="#'Efici&#234;ncia operacional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svg"/><Relationship Id="rId2" Type="http://schemas.openxmlformats.org/officeDocument/2006/relationships/image" Target="../media/image13.png"/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svg"/><Relationship Id="rId2" Type="http://schemas.openxmlformats.org/officeDocument/2006/relationships/image" Target="../media/image11.png"/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svg"/><Relationship Id="rId2" Type="http://schemas.openxmlformats.org/officeDocument/2006/relationships/image" Target="../media/image14.png"/><Relationship Id="rId1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svg"/><Relationship Id="rId2" Type="http://schemas.openxmlformats.org/officeDocument/2006/relationships/image" Target="../media/image9.png"/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5.png"/><Relationship Id="rId7" Type="http://schemas.openxmlformats.org/officeDocument/2006/relationships/hyperlink" Target="#&#205;ndice!A1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9" Type="http://schemas.openxmlformats.org/officeDocument/2006/relationships/image" Target="../media/image10.sv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svg"/><Relationship Id="rId2" Type="http://schemas.openxmlformats.org/officeDocument/2006/relationships/image" Target="../media/image9.png"/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svg"/><Relationship Id="rId2" Type="http://schemas.openxmlformats.org/officeDocument/2006/relationships/image" Target="../media/image9.png"/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svg"/><Relationship Id="rId2" Type="http://schemas.openxmlformats.org/officeDocument/2006/relationships/image" Target="../media/image11.png"/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svg"/><Relationship Id="rId2" Type="http://schemas.openxmlformats.org/officeDocument/2006/relationships/image" Target="../media/image12.png"/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svg"/><Relationship Id="rId2" Type="http://schemas.openxmlformats.org/officeDocument/2006/relationships/image" Target="../media/image12.png"/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svg"/><Relationship Id="rId2" Type="http://schemas.openxmlformats.org/officeDocument/2006/relationships/image" Target="../media/image12.png"/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svg"/><Relationship Id="rId2" Type="http://schemas.openxmlformats.org/officeDocument/2006/relationships/image" Target="../media/image9.png"/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3</xdr:row>
      <xdr:rowOff>19050</xdr:rowOff>
    </xdr:from>
    <xdr:to>
      <xdr:col>0</xdr:col>
      <xdr:colOff>478155</xdr:colOff>
      <xdr:row>4</xdr:row>
      <xdr:rowOff>38100</xdr:rowOff>
    </xdr:to>
    <xdr:pic>
      <xdr:nvPicPr>
        <xdr:cNvPr id="8" name="Gráfico 7" descr="Marca de Verificação com preenchimento sóli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5DEA57-668A-43F6-AC88-5ACAA2B74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6700" y="590550"/>
          <a:ext cx="209550" cy="209550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5</xdr:row>
      <xdr:rowOff>14287</xdr:rowOff>
    </xdr:from>
    <xdr:to>
      <xdr:col>0</xdr:col>
      <xdr:colOff>478155</xdr:colOff>
      <xdr:row>6</xdr:row>
      <xdr:rowOff>21907</xdr:rowOff>
    </xdr:to>
    <xdr:pic>
      <xdr:nvPicPr>
        <xdr:cNvPr id="9" name="Gráfico 8" descr="Marca de Verificação com preenchimento sólid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C722CE1-1C44-41EE-AD5E-1AD582F92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6700" y="966787"/>
          <a:ext cx="209550" cy="209550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7</xdr:row>
      <xdr:rowOff>9524</xdr:rowOff>
    </xdr:from>
    <xdr:to>
      <xdr:col>0</xdr:col>
      <xdr:colOff>478155</xdr:colOff>
      <xdr:row>8</xdr:row>
      <xdr:rowOff>19049</xdr:rowOff>
    </xdr:to>
    <xdr:pic>
      <xdr:nvPicPr>
        <xdr:cNvPr id="10" name="Gráfico 9" descr="Marca de Verificação com preenchimento sólid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00139D9-FC50-4278-960D-86EFFD90AB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6700" y="1343024"/>
          <a:ext cx="209550" cy="209550"/>
        </a:xfrm>
        <a:prstGeom prst="rect">
          <a:avLst/>
        </a:prstGeom>
      </xdr:spPr>
    </xdr:pic>
    <xdr:clientData/>
  </xdr:twoCellAnchor>
  <xdr:oneCellAnchor>
    <xdr:from>
      <xdr:col>0</xdr:col>
      <xdr:colOff>266700</xdr:colOff>
      <xdr:row>9</xdr:row>
      <xdr:rowOff>4761</xdr:rowOff>
    </xdr:from>
    <xdr:ext cx="209550" cy="209550"/>
    <xdr:pic>
      <xdr:nvPicPr>
        <xdr:cNvPr id="11" name="Gráfico 10" descr="Marca de Verificação com preenchimento sólid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279D298-8114-4718-B978-BBC7933BC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6700" y="1719261"/>
          <a:ext cx="209550" cy="209550"/>
        </a:xfrm>
        <a:prstGeom prst="rect">
          <a:avLst/>
        </a:prstGeom>
      </xdr:spPr>
    </xdr:pic>
    <xdr:clientData/>
  </xdr:oneCellAnchor>
  <xdr:oneCellAnchor>
    <xdr:from>
      <xdr:col>0</xdr:col>
      <xdr:colOff>266700</xdr:colOff>
      <xdr:row>10</xdr:row>
      <xdr:rowOff>190498</xdr:rowOff>
    </xdr:from>
    <xdr:ext cx="209550" cy="209550"/>
    <xdr:pic>
      <xdr:nvPicPr>
        <xdr:cNvPr id="12" name="Gráfico 11" descr="Marca de Verificação com preenchimento sólid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7826F3D-E172-48B9-A91D-152BF88DA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6700" y="2095498"/>
          <a:ext cx="209550" cy="209550"/>
        </a:xfrm>
        <a:prstGeom prst="rect">
          <a:avLst/>
        </a:prstGeom>
      </xdr:spPr>
    </xdr:pic>
    <xdr:clientData/>
  </xdr:oneCellAnchor>
  <xdr:oneCellAnchor>
    <xdr:from>
      <xdr:col>0</xdr:col>
      <xdr:colOff>266700</xdr:colOff>
      <xdr:row>17</xdr:row>
      <xdr:rowOff>33335</xdr:rowOff>
    </xdr:from>
    <xdr:ext cx="209550" cy="209550"/>
    <xdr:pic>
      <xdr:nvPicPr>
        <xdr:cNvPr id="13" name="Gráfico 12" descr="Marca de Verificação com preenchimento sólido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4BAB7749-E529-485B-970D-665D6BBBE1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6700" y="3271835"/>
          <a:ext cx="209550" cy="209550"/>
        </a:xfrm>
        <a:prstGeom prst="rect">
          <a:avLst/>
        </a:prstGeom>
      </xdr:spPr>
    </xdr:pic>
    <xdr:clientData/>
  </xdr:oneCellAnchor>
  <xdr:oneCellAnchor>
    <xdr:from>
      <xdr:col>0</xdr:col>
      <xdr:colOff>266700</xdr:colOff>
      <xdr:row>18</xdr:row>
      <xdr:rowOff>180972</xdr:rowOff>
    </xdr:from>
    <xdr:ext cx="209550" cy="209550"/>
    <xdr:pic>
      <xdr:nvPicPr>
        <xdr:cNvPr id="14" name="Gráfico 13" descr="Marca de Verificação com preenchimento sólido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50AA155E-2AE0-47CE-80F1-5042ACEE5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6700" y="2847972"/>
          <a:ext cx="209550" cy="209550"/>
        </a:xfrm>
        <a:prstGeom prst="rect">
          <a:avLst/>
        </a:prstGeom>
      </xdr:spPr>
    </xdr:pic>
    <xdr:clientData/>
  </xdr:oneCellAnchor>
  <xdr:oneCellAnchor>
    <xdr:from>
      <xdr:col>0</xdr:col>
      <xdr:colOff>266700</xdr:colOff>
      <xdr:row>20</xdr:row>
      <xdr:rowOff>176209</xdr:rowOff>
    </xdr:from>
    <xdr:ext cx="209550" cy="209550"/>
    <xdr:pic>
      <xdr:nvPicPr>
        <xdr:cNvPr id="15" name="Gráfico 14" descr="Marca de Verificação com preenchimento sólido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11C68CC4-B0C7-4E1C-B530-88286A53D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6700" y="3224209"/>
          <a:ext cx="209550" cy="209550"/>
        </a:xfrm>
        <a:prstGeom prst="rect">
          <a:avLst/>
        </a:prstGeom>
      </xdr:spPr>
    </xdr:pic>
    <xdr:clientData/>
  </xdr:oneCellAnchor>
  <xdr:oneCellAnchor>
    <xdr:from>
      <xdr:col>0</xdr:col>
      <xdr:colOff>266700</xdr:colOff>
      <xdr:row>23</xdr:row>
      <xdr:rowOff>0</xdr:rowOff>
    </xdr:from>
    <xdr:ext cx="209550" cy="209550"/>
    <xdr:pic>
      <xdr:nvPicPr>
        <xdr:cNvPr id="17" name="Gráfico 16" descr="Marca de Verificação com preenchimento sólido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1069657C-648E-4977-879D-0BE984132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6700" y="3976683"/>
          <a:ext cx="209550" cy="209550"/>
        </a:xfrm>
        <a:prstGeom prst="rect">
          <a:avLst/>
        </a:prstGeom>
      </xdr:spPr>
    </xdr:pic>
    <xdr:clientData/>
  </xdr:oneCellAnchor>
  <xdr:oneCellAnchor>
    <xdr:from>
      <xdr:col>0</xdr:col>
      <xdr:colOff>266700</xdr:colOff>
      <xdr:row>24</xdr:row>
      <xdr:rowOff>161925</xdr:rowOff>
    </xdr:from>
    <xdr:ext cx="209550" cy="209550"/>
    <xdr:pic>
      <xdr:nvPicPr>
        <xdr:cNvPr id="18" name="Gráfico 17" descr="Marca de Verificação com preenchimento sólido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29D4FA42-E09E-487D-8B38-01928B210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6700" y="4352925"/>
          <a:ext cx="209550" cy="209550"/>
        </a:xfrm>
        <a:prstGeom prst="rect">
          <a:avLst/>
        </a:prstGeom>
      </xdr:spPr>
    </xdr:pic>
    <xdr:clientData/>
  </xdr:oneCellAnchor>
  <xdr:oneCellAnchor>
    <xdr:from>
      <xdr:col>0</xdr:col>
      <xdr:colOff>266700</xdr:colOff>
      <xdr:row>12</xdr:row>
      <xdr:rowOff>176210</xdr:rowOff>
    </xdr:from>
    <xdr:ext cx="209550" cy="209550"/>
    <xdr:pic>
      <xdr:nvPicPr>
        <xdr:cNvPr id="2" name="Gráfico 12" descr="Marca de Verificação com preenchimento sólido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CA90132A-3E61-A658-3880-F76422725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6700" y="2462210"/>
          <a:ext cx="209550" cy="209550"/>
        </a:xfrm>
        <a:prstGeom prst="rect">
          <a:avLst/>
        </a:prstGeom>
      </xdr:spPr>
    </xdr:pic>
    <xdr:clientData/>
  </xdr:oneCellAnchor>
  <xdr:oneCellAnchor>
    <xdr:from>
      <xdr:col>0</xdr:col>
      <xdr:colOff>266700</xdr:colOff>
      <xdr:row>14</xdr:row>
      <xdr:rowOff>185735</xdr:rowOff>
    </xdr:from>
    <xdr:ext cx="209550" cy="209550"/>
    <xdr:pic>
      <xdr:nvPicPr>
        <xdr:cNvPr id="3" name="Gráfico 12" descr="Marca de Verificação com preenchimento sólido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F84EF9DB-7C90-932A-520B-49F8E74F7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6700" y="2852735"/>
          <a:ext cx="209550" cy="20955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0</xdr:colOff>
      <xdr:row>0</xdr:row>
      <xdr:rowOff>0</xdr:rowOff>
    </xdr:from>
    <xdr:ext cx="457200" cy="440403"/>
    <xdr:pic>
      <xdr:nvPicPr>
        <xdr:cNvPr id="5" name="Gráfico 2" descr="Casa com preenchimento sóli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ABBAE40-BAD1-4075-9A1D-CFB274625D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8779107" y="0"/>
          <a:ext cx="457200" cy="440403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0</xdr:rowOff>
    </xdr:from>
    <xdr:to>
      <xdr:col>16384</xdr:col>
      <xdr:colOff>15240</xdr:colOff>
      <xdr:row>2</xdr:row>
      <xdr:rowOff>53975</xdr:rowOff>
    </xdr:to>
    <xdr:pic>
      <xdr:nvPicPr>
        <xdr:cNvPr id="3" name="Gráfico 2" descr="Casa com preenchimento sóli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912FEC-2798-4833-808E-4B806B92D7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782425" y="0"/>
          <a:ext cx="445770" cy="43878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0</xdr:row>
      <xdr:rowOff>0</xdr:rowOff>
    </xdr:from>
    <xdr:to>
      <xdr:col>16384</xdr:col>
      <xdr:colOff>17817</xdr:colOff>
      <xdr:row>2</xdr:row>
      <xdr:rowOff>77355</xdr:rowOff>
    </xdr:to>
    <xdr:pic>
      <xdr:nvPicPr>
        <xdr:cNvPr id="3" name="Gráfico 2" descr="Casa com preenchimento sóli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D72402-4324-4D68-8AFF-269AE33DA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3896975" y="0"/>
          <a:ext cx="455967" cy="43930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16384</xdr:col>
      <xdr:colOff>12700</xdr:colOff>
      <xdr:row>2</xdr:row>
      <xdr:rowOff>104140</xdr:rowOff>
    </xdr:to>
    <xdr:pic>
      <xdr:nvPicPr>
        <xdr:cNvPr id="3" name="Gráfico 2" descr="Casa com preenchimento sóli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8A7BA7-A1E0-4240-A4B6-80E3DED12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0115550" y="0"/>
          <a:ext cx="437515" cy="4679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42</xdr:row>
      <xdr:rowOff>76200</xdr:rowOff>
    </xdr:from>
    <xdr:to>
      <xdr:col>1</xdr:col>
      <xdr:colOff>1274547</xdr:colOff>
      <xdr:row>47</xdr:row>
      <xdr:rowOff>91554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6A75C40-BE58-4B7F-BA14-66281F772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8225" y="7000875"/>
          <a:ext cx="733527" cy="819264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40</xdr:row>
      <xdr:rowOff>304800</xdr:rowOff>
    </xdr:from>
    <xdr:to>
      <xdr:col>6</xdr:col>
      <xdr:colOff>853440</xdr:colOff>
      <xdr:row>42</xdr:row>
      <xdr:rowOff>114349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A09CFAAD-969B-467C-BE71-714E814CAA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6214"/>
        <a:stretch/>
      </xdr:blipFill>
      <xdr:spPr>
        <a:xfrm>
          <a:off x="600075" y="8505825"/>
          <a:ext cx="7962900" cy="295324"/>
        </a:xfrm>
        <a:prstGeom prst="rect">
          <a:avLst/>
        </a:prstGeom>
      </xdr:spPr>
    </xdr:pic>
    <xdr:clientData/>
  </xdr:twoCellAnchor>
  <xdr:twoCellAnchor editAs="oneCell">
    <xdr:from>
      <xdr:col>1</xdr:col>
      <xdr:colOff>314326</xdr:colOff>
      <xdr:row>51</xdr:row>
      <xdr:rowOff>306390</xdr:rowOff>
    </xdr:from>
    <xdr:to>
      <xdr:col>3</xdr:col>
      <xdr:colOff>152400</xdr:colOff>
      <xdr:row>66</xdr:row>
      <xdr:rowOff>116615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4D01118-7901-457B-AC63-A48807DACA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00101" y="9040815"/>
          <a:ext cx="4352924" cy="246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201868</xdr:colOff>
      <xdr:row>83</xdr:row>
      <xdr:rowOff>95249</xdr:rowOff>
    </xdr:from>
    <xdr:to>
      <xdr:col>2</xdr:col>
      <xdr:colOff>1926896</xdr:colOff>
      <xdr:row>98</xdr:row>
      <xdr:rowOff>38099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D362E404-581F-4DEF-8963-B4B62DBC1E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87643" y="14982824"/>
          <a:ext cx="4045318" cy="2371725"/>
        </a:xfrm>
        <a:prstGeom prst="rect">
          <a:avLst/>
        </a:prstGeom>
      </xdr:spPr>
    </xdr:pic>
    <xdr:clientData/>
  </xdr:twoCellAnchor>
  <xdr:twoCellAnchor>
    <xdr:from>
      <xdr:col>1</xdr:col>
      <xdr:colOff>400050</xdr:colOff>
      <xdr:row>69</xdr:row>
      <xdr:rowOff>76200</xdr:rowOff>
    </xdr:from>
    <xdr:to>
      <xdr:col>1</xdr:col>
      <xdr:colOff>1724210</xdr:colOff>
      <xdr:row>81</xdr:row>
      <xdr:rowOff>66675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F52BDEA6-A818-3399-03D3-4BD37322EC94}"/>
            </a:ext>
          </a:extLst>
        </xdr:cNvPr>
        <xdr:cNvGrpSpPr/>
      </xdr:nvGrpSpPr>
      <xdr:grpSpPr>
        <a:xfrm>
          <a:off x="681990" y="12534900"/>
          <a:ext cx="1329875" cy="1931670"/>
          <a:chOff x="5295900" y="12172950"/>
          <a:chExt cx="1324160" cy="1933575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10D9F7C7-3773-F382-29B0-70F84D63D3A1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5"/>
          <a:srcRect t="7449" b="34393"/>
          <a:stretch/>
        </xdr:blipFill>
        <xdr:spPr>
          <a:xfrm>
            <a:off x="5295900" y="12172950"/>
            <a:ext cx="1324160" cy="1933575"/>
          </a:xfrm>
          <a:prstGeom prst="rect">
            <a:avLst/>
          </a:prstGeom>
        </xdr:spPr>
      </xdr:pic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3E242384-8FAB-B7C9-EE89-4658C2A145FE}"/>
              </a:ext>
            </a:extLst>
          </xdr:cNvPr>
          <xdr:cNvSpPr/>
        </xdr:nvSpPr>
        <xdr:spPr>
          <a:xfrm>
            <a:off x="5334000" y="13363575"/>
            <a:ext cx="1228725" cy="304800"/>
          </a:xfrm>
          <a:prstGeom prst="rect">
            <a:avLst/>
          </a:prstGeom>
          <a:noFill/>
          <a:ln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 editAs="oneCell">
    <xdr:from>
      <xdr:col>1</xdr:col>
      <xdr:colOff>1914525</xdr:colOff>
      <xdr:row>69</xdr:row>
      <xdr:rowOff>85725</xdr:rowOff>
    </xdr:from>
    <xdr:to>
      <xdr:col>2</xdr:col>
      <xdr:colOff>1352795</xdr:colOff>
      <xdr:row>79</xdr:row>
      <xdr:rowOff>114530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B7048867-A4A8-D296-1819-6E2768D294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400300" y="12706350"/>
          <a:ext cx="1752845" cy="1648055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16384</xdr:col>
      <xdr:colOff>15240</xdr:colOff>
      <xdr:row>2</xdr:row>
      <xdr:rowOff>97155</xdr:rowOff>
    </xdr:to>
    <xdr:pic>
      <xdr:nvPicPr>
        <xdr:cNvPr id="14" name="Gráfico 13" descr="Casa com preenchimento sólid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C6C04B7-DAC4-43AA-B466-47C5D5AE2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9"/>
            </a:ext>
          </a:extLst>
        </a:blip>
        <a:stretch>
          <a:fillRect/>
        </a:stretch>
      </xdr:blipFill>
      <xdr:spPr>
        <a:xfrm>
          <a:off x="8810625" y="0"/>
          <a:ext cx="443865" cy="4305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9</xdr:col>
      <xdr:colOff>1445</xdr:colOff>
      <xdr:row>2</xdr:row>
      <xdr:rowOff>53143</xdr:rowOff>
    </xdr:to>
    <xdr:pic>
      <xdr:nvPicPr>
        <xdr:cNvPr id="3" name="Gráfico 9" descr="Casa com preenchimento sóli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88561E-7593-4355-8C49-D6C65B7DB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553325" y="0"/>
          <a:ext cx="445770" cy="4305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16384</xdr:col>
      <xdr:colOff>17145</xdr:colOff>
      <xdr:row>2</xdr:row>
      <xdr:rowOff>59055</xdr:rowOff>
    </xdr:to>
    <xdr:pic>
      <xdr:nvPicPr>
        <xdr:cNvPr id="3" name="Gráfico 2" descr="Casa com preenchimento sóli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3FC0E2-A9EB-4AE0-9F13-CCA632CBC2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4230350" y="0"/>
          <a:ext cx="449580" cy="42100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13</xdr:col>
      <xdr:colOff>0</xdr:colOff>
      <xdr:row>2</xdr:row>
      <xdr:rowOff>74930</xdr:rowOff>
    </xdr:to>
    <xdr:pic>
      <xdr:nvPicPr>
        <xdr:cNvPr id="3" name="Gráfico 2" descr="Casa com preenchimento sóli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B8F3DD-21D9-4B24-BAE7-5322FD79D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6659225" y="0"/>
          <a:ext cx="445770" cy="43878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16384</xdr:col>
      <xdr:colOff>19685</xdr:colOff>
      <xdr:row>2</xdr:row>
      <xdr:rowOff>76835</xdr:rowOff>
    </xdr:to>
    <xdr:pic>
      <xdr:nvPicPr>
        <xdr:cNvPr id="3" name="Gráfico 2" descr="Casa com preenchimento sóli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2512EBD-4094-4E78-8F4D-C4A8C0766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6192500" y="0"/>
          <a:ext cx="454025" cy="43878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0</xdr:rowOff>
    </xdr:from>
    <xdr:to>
      <xdr:col>16384</xdr:col>
      <xdr:colOff>15875</xdr:colOff>
      <xdr:row>2</xdr:row>
      <xdr:rowOff>76835</xdr:rowOff>
    </xdr:to>
    <xdr:pic>
      <xdr:nvPicPr>
        <xdr:cNvPr id="3" name="Gráfico 2" descr="Casa com preenchimento sóli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DF0AB4-A0A8-42CE-81CE-B5A0018BB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5220950" y="0"/>
          <a:ext cx="454025" cy="43878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0</xdr:rowOff>
    </xdr:from>
    <xdr:to>
      <xdr:col>16384</xdr:col>
      <xdr:colOff>29210</xdr:colOff>
      <xdr:row>2</xdr:row>
      <xdr:rowOff>97790</xdr:rowOff>
    </xdr:to>
    <xdr:pic>
      <xdr:nvPicPr>
        <xdr:cNvPr id="3" name="Gráfico 2" descr="Casa com preenchimento sóli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C34D23-A0B5-4AA0-96A2-479EB3C7D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0248900" y="0"/>
          <a:ext cx="457835" cy="4635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0</xdr:rowOff>
    </xdr:from>
    <xdr:to>
      <xdr:col>16384</xdr:col>
      <xdr:colOff>43815</xdr:colOff>
      <xdr:row>2</xdr:row>
      <xdr:rowOff>59055</xdr:rowOff>
    </xdr:to>
    <xdr:pic>
      <xdr:nvPicPr>
        <xdr:cNvPr id="3" name="Gráfico 2" descr="Casa com preenchimento sóli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661DCC-6C45-4AE9-8B0F-B0D308A50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153775" y="0"/>
          <a:ext cx="476250" cy="4248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/>
  <dimension ref="A1:I31"/>
  <sheetViews>
    <sheetView showGridLines="0" tabSelected="1" workbookViewId="0"/>
  </sheetViews>
  <sheetFormatPr defaultColWidth="0" defaultRowHeight="14.4" zeroHeight="1" x14ac:dyDescent="0.3"/>
  <cols>
    <col min="1" max="1" width="8.6640625" customWidth="1"/>
    <col min="2" max="2" width="15.109375" customWidth="1"/>
    <col min="3" max="9" width="9.109375" customWidth="1"/>
    <col min="10" max="16384" width="9.109375" hidden="1"/>
  </cols>
  <sheetData>
    <row r="1" spans="2:4" s="63" customFormat="1" ht="14.4" customHeight="1" x14ac:dyDescent="0.3"/>
    <row r="2" spans="2:4" x14ac:dyDescent="0.3">
      <c r="B2" s="24" t="s">
        <v>202</v>
      </c>
    </row>
    <row r="3" spans="2:4" x14ac:dyDescent="0.3"/>
    <row r="4" spans="2:4" x14ac:dyDescent="0.3">
      <c r="B4" s="161" t="s">
        <v>203</v>
      </c>
      <c r="C4" s="161"/>
      <c r="D4" s="161"/>
    </row>
    <row r="5" spans="2:4" x14ac:dyDescent="0.3">
      <c r="B5" s="161"/>
      <c r="C5" s="161"/>
      <c r="D5" s="161"/>
    </row>
    <row r="6" spans="2:4" x14ac:dyDescent="0.3">
      <c r="B6" s="161" t="s">
        <v>317</v>
      </c>
      <c r="C6" s="161"/>
      <c r="D6" s="161"/>
    </row>
    <row r="7" spans="2:4" x14ac:dyDescent="0.3">
      <c r="B7" s="161"/>
      <c r="C7" s="161"/>
      <c r="D7" s="161"/>
    </row>
    <row r="8" spans="2:4" x14ac:dyDescent="0.3">
      <c r="B8" s="161" t="s">
        <v>179</v>
      </c>
      <c r="C8" s="161"/>
      <c r="D8" s="161"/>
    </row>
    <row r="9" spans="2:4" x14ac:dyDescent="0.3">
      <c r="B9" s="161"/>
      <c r="C9" s="161"/>
      <c r="D9" s="161"/>
    </row>
    <row r="10" spans="2:4" x14ac:dyDescent="0.3">
      <c r="B10" s="161" t="s">
        <v>204</v>
      </c>
      <c r="C10" s="161"/>
      <c r="D10" s="161"/>
    </row>
    <row r="11" spans="2:4" x14ac:dyDescent="0.3">
      <c r="B11" s="161"/>
      <c r="C11" s="161"/>
      <c r="D11" s="161"/>
    </row>
    <row r="12" spans="2:4" x14ac:dyDescent="0.3">
      <c r="B12" s="436" t="s">
        <v>205</v>
      </c>
      <c r="C12" s="436"/>
      <c r="D12" s="436"/>
    </row>
    <row r="13" spans="2:4" x14ac:dyDescent="0.3">
      <c r="B13" s="161"/>
      <c r="C13" s="161"/>
      <c r="D13" s="161"/>
    </row>
    <row r="14" spans="2:4" x14ac:dyDescent="0.3">
      <c r="B14" s="436" t="s">
        <v>266</v>
      </c>
      <c r="C14" s="436"/>
      <c r="D14" s="436"/>
    </row>
    <row r="15" spans="2:4" x14ac:dyDescent="0.3">
      <c r="B15" s="161"/>
      <c r="C15" s="161"/>
      <c r="D15" s="161"/>
    </row>
    <row r="16" spans="2:4" x14ac:dyDescent="0.3">
      <c r="B16" s="161" t="s">
        <v>146</v>
      </c>
      <c r="C16" s="161"/>
      <c r="D16" s="161"/>
    </row>
    <row r="17" spans="2:4" x14ac:dyDescent="0.3">
      <c r="B17" s="161"/>
      <c r="C17" s="161"/>
      <c r="D17" s="161"/>
    </row>
    <row r="18" spans="2:4" x14ac:dyDescent="0.3">
      <c r="B18" s="436" t="s">
        <v>119</v>
      </c>
      <c r="C18" s="436"/>
      <c r="D18" s="436"/>
    </row>
    <row r="19" spans="2:4" x14ac:dyDescent="0.3">
      <c r="B19" s="161"/>
      <c r="C19" s="161"/>
      <c r="D19" s="161"/>
    </row>
    <row r="20" spans="2:4" x14ac:dyDescent="0.3">
      <c r="B20" s="436" t="s">
        <v>206</v>
      </c>
      <c r="C20" s="436"/>
      <c r="D20" s="436"/>
    </row>
    <row r="21" spans="2:4" x14ac:dyDescent="0.3">
      <c r="B21" s="161"/>
      <c r="C21" s="161"/>
      <c r="D21" s="161"/>
    </row>
    <row r="22" spans="2:4" x14ac:dyDescent="0.3">
      <c r="B22" s="436" t="s">
        <v>288</v>
      </c>
      <c r="C22" s="436"/>
      <c r="D22" s="436"/>
    </row>
    <row r="23" spans="2:4" x14ac:dyDescent="0.3">
      <c r="B23" s="161"/>
      <c r="C23" s="161"/>
      <c r="D23" s="161"/>
    </row>
    <row r="24" spans="2:4" x14ac:dyDescent="0.3">
      <c r="B24" s="161" t="s">
        <v>333</v>
      </c>
      <c r="C24" s="161"/>
      <c r="D24" s="161"/>
    </row>
    <row r="25" spans="2:4" x14ac:dyDescent="0.3">
      <c r="B25" s="161"/>
      <c r="C25" s="161"/>
      <c r="D25" s="161"/>
    </row>
    <row r="26" spans="2:4" x14ac:dyDescent="0.3">
      <c r="B26" s="436" t="s">
        <v>334</v>
      </c>
      <c r="C26" s="436"/>
      <c r="D26" s="436"/>
    </row>
    <row r="27" spans="2:4" s="63" customFormat="1" x14ac:dyDescent="0.3"/>
    <row r="28" spans="2:4" hidden="1" x14ac:dyDescent="0.3"/>
    <row r="29" spans="2:4" hidden="1" x14ac:dyDescent="0.3"/>
    <row r="30" spans="2:4" hidden="1" x14ac:dyDescent="0.3"/>
    <row r="31" spans="2:4" hidden="1" x14ac:dyDescent="0.3"/>
  </sheetData>
  <sheetProtection sheet="1" selectLockedCells="1"/>
  <mergeCells count="6">
    <mergeCell ref="B12:D12"/>
    <mergeCell ref="B26:D26"/>
    <mergeCell ref="B22:D22"/>
    <mergeCell ref="B18:D18"/>
    <mergeCell ref="B14:D14"/>
    <mergeCell ref="B20:D20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lha10">
    <tabColor theme="4" tint="0.59999389629810485"/>
    <pageSetUpPr fitToPage="1"/>
  </sheetPr>
  <dimension ref="A1:AA19"/>
  <sheetViews>
    <sheetView showGridLines="0" zoomScale="85" zoomScaleNormal="85" workbookViewId="0">
      <selection activeCell="B4" sqref="B4"/>
    </sheetView>
  </sheetViews>
  <sheetFormatPr defaultColWidth="0" defaultRowHeight="14.4" zeroHeight="1" x14ac:dyDescent="0.3"/>
  <cols>
    <col min="1" max="1" width="4.109375" style="38" customWidth="1"/>
    <col min="2" max="2" width="41.44140625" style="39" customWidth="1"/>
    <col min="3" max="4" width="14.6640625" style="39" customWidth="1"/>
    <col min="5" max="7" width="13.109375" style="39" customWidth="1"/>
    <col min="8" max="13" width="16" style="38" customWidth="1"/>
    <col min="14" max="14" width="14.6640625" style="38" customWidth="1"/>
    <col min="15" max="19" width="16" style="38" customWidth="1"/>
    <col min="20" max="20" width="14.6640625" style="38" customWidth="1"/>
    <col min="21" max="25" width="16" style="38" customWidth="1"/>
    <col min="26" max="26" width="14.6640625" style="38" customWidth="1"/>
    <col min="27" max="27" width="9.109375" style="38" customWidth="1"/>
    <col min="28" max="16384" width="9.109375" style="38" hidden="1"/>
  </cols>
  <sheetData>
    <row r="1" spans="2:26" x14ac:dyDescent="0.3"/>
    <row r="2" spans="2:26" x14ac:dyDescent="0.3"/>
    <row r="3" spans="2:26" x14ac:dyDescent="0.3"/>
    <row r="4" spans="2:26" ht="14.4" customHeight="1" x14ac:dyDescent="0.3">
      <c r="B4" s="55"/>
      <c r="C4" s="55"/>
      <c r="D4" s="55"/>
      <c r="E4" s="55"/>
      <c r="F4" s="55"/>
      <c r="G4" s="55"/>
      <c r="H4" s="53"/>
      <c r="I4" s="53"/>
      <c r="J4" s="53"/>
      <c r="K4" s="53"/>
      <c r="L4" s="53"/>
      <c r="M4" s="53"/>
      <c r="N4" s="53"/>
      <c r="O4" s="53"/>
      <c r="P4" s="53"/>
      <c r="T4" s="53"/>
    </row>
    <row r="5" spans="2:26" ht="27.75" customHeight="1" x14ac:dyDescent="0.3">
      <c r="B5" s="453" t="s">
        <v>183</v>
      </c>
      <c r="C5" s="474" t="str">
        <f>"Situação a 31/12/"&amp;Instruções!C10-1</f>
        <v>Situação a 31/12/2023</v>
      </c>
      <c r="D5" s="474" t="str">
        <f>"Situação a 31/12/"&amp;Instruções!C10</f>
        <v>Situação a 31/12/2024</v>
      </c>
      <c r="E5" s="475" t="str">
        <f>"Situação a 01.01."&amp;Instruções!C10+1</f>
        <v>Situação a 01.01.2025</v>
      </c>
      <c r="F5" s="476"/>
      <c r="G5" s="477"/>
      <c r="H5" s="471" t="str">
        <f>"Movimentos de Pessoal - "&amp;Instruções!$C$10+1</f>
        <v>Movimentos de Pessoal - 2025</v>
      </c>
      <c r="I5" s="472"/>
      <c r="J5" s="472"/>
      <c r="K5" s="472"/>
      <c r="L5" s="472"/>
      <c r="M5" s="473"/>
      <c r="N5" s="474" t="str">
        <f>"Situação a 31/12/"&amp;Instruções!$C$10+1</f>
        <v>Situação a 31/12/2025</v>
      </c>
      <c r="O5" s="471" t="str">
        <f>"Movimentos de Pessoal - "&amp;Instruções!$C$10+2</f>
        <v>Movimentos de Pessoal - 2026</v>
      </c>
      <c r="P5" s="472"/>
      <c r="Q5" s="472"/>
      <c r="R5" s="472"/>
      <c r="S5" s="473"/>
      <c r="T5" s="474" t="str">
        <f>"Situação a 31/12/"&amp;Instruções!$C$10+2</f>
        <v>Situação a 31/12/2026</v>
      </c>
      <c r="U5" s="471" t="str">
        <f>"Movimentos de Pessoal - "&amp;Instruções!$C$10+3</f>
        <v>Movimentos de Pessoal - 2027</v>
      </c>
      <c r="V5" s="472"/>
      <c r="W5" s="472"/>
      <c r="X5" s="472"/>
      <c r="Y5" s="473"/>
      <c r="Z5" s="474" t="str">
        <f>"Situação a 31/12/"&amp;Instruções!$C$10+3</f>
        <v>Situação a 31/12/2027</v>
      </c>
    </row>
    <row r="6" spans="2:26" ht="62.25" customHeight="1" x14ac:dyDescent="0.3">
      <c r="B6" s="453"/>
      <c r="C6" s="474"/>
      <c r="D6" s="474"/>
      <c r="E6" s="315" t="s">
        <v>215</v>
      </c>
      <c r="F6" s="315" t="s">
        <v>216</v>
      </c>
      <c r="G6" s="315" t="s">
        <v>217</v>
      </c>
      <c r="H6" s="155" t="s">
        <v>184</v>
      </c>
      <c r="I6" s="155" t="s">
        <v>185</v>
      </c>
      <c r="J6" s="155" t="s">
        <v>209</v>
      </c>
      <c r="K6" s="155" t="s">
        <v>210</v>
      </c>
      <c r="L6" s="155" t="s">
        <v>186</v>
      </c>
      <c r="M6" s="155" t="s">
        <v>187</v>
      </c>
      <c r="N6" s="474"/>
      <c r="O6" s="155" t="s">
        <v>184</v>
      </c>
      <c r="P6" s="155" t="s">
        <v>185</v>
      </c>
      <c r="Q6" s="155" t="s">
        <v>212</v>
      </c>
      <c r="R6" s="155" t="s">
        <v>186</v>
      </c>
      <c r="S6" s="155" t="s">
        <v>187</v>
      </c>
      <c r="T6" s="474"/>
      <c r="U6" s="155" t="s">
        <v>184</v>
      </c>
      <c r="V6" s="155" t="s">
        <v>185</v>
      </c>
      <c r="W6" s="155" t="s">
        <v>211</v>
      </c>
      <c r="X6" s="155" t="s">
        <v>186</v>
      </c>
      <c r="Y6" s="155" t="s">
        <v>187</v>
      </c>
      <c r="Z6" s="474"/>
    </row>
    <row r="7" spans="2:26" ht="36.75" customHeight="1" x14ac:dyDescent="0.3">
      <c r="B7" s="156"/>
      <c r="C7" s="157"/>
      <c r="D7" s="158" t="s">
        <v>188</v>
      </c>
      <c r="E7" s="478"/>
      <c r="F7" s="479"/>
      <c r="G7" s="480"/>
      <c r="H7" s="158" t="s">
        <v>189</v>
      </c>
      <c r="I7" s="157"/>
      <c r="J7" s="158" t="s">
        <v>190</v>
      </c>
      <c r="K7" s="158" t="s">
        <v>191</v>
      </c>
      <c r="L7" s="158" t="s">
        <v>192</v>
      </c>
      <c r="M7" s="158" t="s">
        <v>193</v>
      </c>
      <c r="N7" s="159" t="s">
        <v>194</v>
      </c>
      <c r="O7" s="158" t="s">
        <v>189</v>
      </c>
      <c r="P7" s="157"/>
      <c r="Q7" s="158" t="s">
        <v>191</v>
      </c>
      <c r="R7" s="158" t="s">
        <v>192</v>
      </c>
      <c r="S7" s="158" t="s">
        <v>193</v>
      </c>
      <c r="T7" s="159" t="s">
        <v>213</v>
      </c>
      <c r="U7" s="158" t="s">
        <v>189</v>
      </c>
      <c r="V7" s="157"/>
      <c r="W7" s="158" t="s">
        <v>191</v>
      </c>
      <c r="X7" s="158" t="s">
        <v>192</v>
      </c>
      <c r="Y7" s="158" t="s">
        <v>193</v>
      </c>
      <c r="Z7" s="159" t="s">
        <v>214</v>
      </c>
    </row>
    <row r="8" spans="2:26" ht="6.75" customHeight="1" x14ac:dyDescent="0.3">
      <c r="B8" s="38"/>
      <c r="C8" s="38"/>
      <c r="D8" s="38"/>
      <c r="E8" s="38"/>
      <c r="F8" s="38"/>
      <c r="G8" s="38"/>
    </row>
    <row r="9" spans="2:26" s="160" customFormat="1" ht="52.5" customHeight="1" x14ac:dyDescent="0.3">
      <c r="B9" s="206" t="s">
        <v>196</v>
      </c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9">
        <f t="shared" ref="N9:N15" si="0">D9-H9+J9+K9+L9+M9</f>
        <v>0</v>
      </c>
      <c r="O9" s="208"/>
      <c r="P9" s="208"/>
      <c r="Q9" s="208"/>
      <c r="R9" s="208"/>
      <c r="S9" s="208"/>
      <c r="T9" s="209">
        <f>N9-O9+Q9+R9+S9</f>
        <v>0</v>
      </c>
      <c r="U9" s="208"/>
      <c r="V9" s="208"/>
      <c r="W9" s="208"/>
      <c r="X9" s="208"/>
      <c r="Y9" s="208"/>
      <c r="Z9" s="209">
        <f t="shared" ref="Z9:Z15" si="1">T9-U9+W9+X9+Y9</f>
        <v>0</v>
      </c>
    </row>
    <row r="10" spans="2:26" s="160" customFormat="1" ht="52.5" customHeight="1" x14ac:dyDescent="0.3">
      <c r="B10" s="206" t="s">
        <v>195</v>
      </c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9">
        <f t="shared" si="0"/>
        <v>0</v>
      </c>
      <c r="O10" s="208"/>
      <c r="P10" s="208"/>
      <c r="Q10" s="208"/>
      <c r="R10" s="208"/>
      <c r="S10" s="208"/>
      <c r="T10" s="209">
        <f t="shared" ref="T10:T15" si="2">N10-O10+Q10+R10+S10</f>
        <v>0</v>
      </c>
      <c r="U10" s="208"/>
      <c r="V10" s="208"/>
      <c r="W10" s="208"/>
      <c r="X10" s="208"/>
      <c r="Y10" s="208"/>
      <c r="Z10" s="209">
        <f t="shared" si="1"/>
        <v>0</v>
      </c>
    </row>
    <row r="11" spans="2:26" s="160" customFormat="1" ht="52.5" customHeight="1" x14ac:dyDescent="0.3">
      <c r="B11" s="206" t="s">
        <v>197</v>
      </c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9">
        <f t="shared" si="0"/>
        <v>0</v>
      </c>
      <c r="O11" s="208"/>
      <c r="P11" s="208"/>
      <c r="Q11" s="208"/>
      <c r="R11" s="208"/>
      <c r="S11" s="208"/>
      <c r="T11" s="209">
        <f t="shared" si="2"/>
        <v>0</v>
      </c>
      <c r="U11" s="208"/>
      <c r="V11" s="208"/>
      <c r="W11" s="208"/>
      <c r="X11" s="208"/>
      <c r="Y11" s="208"/>
      <c r="Z11" s="209">
        <f t="shared" si="1"/>
        <v>0</v>
      </c>
    </row>
    <row r="12" spans="2:26" s="160" customFormat="1" ht="52.5" customHeight="1" x14ac:dyDescent="0.3">
      <c r="B12" s="206" t="s">
        <v>198</v>
      </c>
      <c r="C12" s="208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9">
        <f t="shared" si="0"/>
        <v>0</v>
      </c>
      <c r="O12" s="208"/>
      <c r="P12" s="208"/>
      <c r="Q12" s="208"/>
      <c r="R12" s="208"/>
      <c r="S12" s="208"/>
      <c r="T12" s="209">
        <f t="shared" si="2"/>
        <v>0</v>
      </c>
      <c r="U12" s="208"/>
      <c r="V12" s="208"/>
      <c r="W12" s="208"/>
      <c r="X12" s="208"/>
      <c r="Y12" s="208"/>
      <c r="Z12" s="209">
        <f t="shared" si="1"/>
        <v>0</v>
      </c>
    </row>
    <row r="13" spans="2:26" s="160" customFormat="1" ht="52.5" customHeight="1" x14ac:dyDescent="0.3">
      <c r="B13" s="206" t="s">
        <v>199</v>
      </c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9">
        <f t="shared" si="0"/>
        <v>0</v>
      </c>
      <c r="O13" s="208"/>
      <c r="P13" s="208"/>
      <c r="Q13" s="208"/>
      <c r="R13" s="208"/>
      <c r="S13" s="208"/>
      <c r="T13" s="209">
        <f t="shared" si="2"/>
        <v>0</v>
      </c>
      <c r="U13" s="208"/>
      <c r="V13" s="208"/>
      <c r="W13" s="208"/>
      <c r="X13" s="208"/>
      <c r="Y13" s="208"/>
      <c r="Z13" s="209">
        <f t="shared" si="1"/>
        <v>0</v>
      </c>
    </row>
    <row r="14" spans="2:26" s="160" customFormat="1" ht="52.5" customHeight="1" x14ac:dyDescent="0.3">
      <c r="B14" s="206" t="s">
        <v>200</v>
      </c>
      <c r="C14" s="208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9">
        <f t="shared" si="0"/>
        <v>0</v>
      </c>
      <c r="O14" s="208"/>
      <c r="P14" s="208"/>
      <c r="Q14" s="208"/>
      <c r="R14" s="208"/>
      <c r="S14" s="208"/>
      <c r="T14" s="209">
        <f t="shared" si="2"/>
        <v>0</v>
      </c>
      <c r="U14" s="208"/>
      <c r="V14" s="208"/>
      <c r="W14" s="208"/>
      <c r="X14" s="208"/>
      <c r="Y14" s="208"/>
      <c r="Z14" s="209">
        <f t="shared" si="1"/>
        <v>0</v>
      </c>
    </row>
    <row r="15" spans="2:26" s="160" customFormat="1" ht="52.5" customHeight="1" x14ac:dyDescent="0.3">
      <c r="B15" s="206" t="s">
        <v>197</v>
      </c>
      <c r="C15" s="208"/>
      <c r="D15" s="208"/>
      <c r="E15" s="208"/>
      <c r="F15" s="208"/>
      <c r="G15" s="208"/>
      <c r="H15" s="208"/>
      <c r="I15" s="208"/>
      <c r="J15" s="208"/>
      <c r="K15" s="208"/>
      <c r="L15" s="208"/>
      <c r="M15" s="208"/>
      <c r="N15" s="209">
        <f t="shared" si="0"/>
        <v>0</v>
      </c>
      <c r="O15" s="208"/>
      <c r="P15" s="208"/>
      <c r="Q15" s="208"/>
      <c r="R15" s="208"/>
      <c r="S15" s="208"/>
      <c r="T15" s="209">
        <f t="shared" si="2"/>
        <v>0</v>
      </c>
      <c r="U15" s="208"/>
      <c r="V15" s="208"/>
      <c r="W15" s="208"/>
      <c r="X15" s="208"/>
      <c r="Y15" s="208"/>
      <c r="Z15" s="209">
        <f t="shared" si="1"/>
        <v>0</v>
      </c>
    </row>
    <row r="16" spans="2:26" ht="6.75" customHeight="1" x14ac:dyDescent="0.3">
      <c r="B16" s="38"/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210"/>
      <c r="Y16" s="210"/>
      <c r="Z16" s="210"/>
    </row>
    <row r="17" spans="2:26" ht="42" customHeight="1" x14ac:dyDescent="0.3">
      <c r="B17" s="207" t="s">
        <v>201</v>
      </c>
      <c r="C17" s="211">
        <f>SUM(C9:C15)</f>
        <v>0</v>
      </c>
      <c r="D17" s="211">
        <f t="shared" ref="D17:N17" si="3">SUM(D9:D15)</f>
        <v>0</v>
      </c>
      <c r="E17" s="211">
        <f t="shared" si="3"/>
        <v>0</v>
      </c>
      <c r="F17" s="211">
        <f t="shared" si="3"/>
        <v>0</v>
      </c>
      <c r="G17" s="211">
        <f t="shared" si="3"/>
        <v>0</v>
      </c>
      <c r="H17" s="211">
        <f t="shared" si="3"/>
        <v>0</v>
      </c>
      <c r="I17" s="211">
        <f t="shared" si="3"/>
        <v>0</v>
      </c>
      <c r="J17" s="211">
        <f t="shared" si="3"/>
        <v>0</v>
      </c>
      <c r="K17" s="211">
        <f t="shared" si="3"/>
        <v>0</v>
      </c>
      <c r="L17" s="211">
        <f t="shared" si="3"/>
        <v>0</v>
      </c>
      <c r="M17" s="211">
        <f t="shared" si="3"/>
        <v>0</v>
      </c>
      <c r="N17" s="211">
        <f t="shared" si="3"/>
        <v>0</v>
      </c>
      <c r="O17" s="211">
        <f t="shared" ref="O17:T17" si="4">SUM(O9:O15)</f>
        <v>0</v>
      </c>
      <c r="P17" s="211">
        <f t="shared" si="4"/>
        <v>0</v>
      </c>
      <c r="Q17" s="211">
        <f t="shared" si="4"/>
        <v>0</v>
      </c>
      <c r="R17" s="211">
        <f t="shared" si="4"/>
        <v>0</v>
      </c>
      <c r="S17" s="211">
        <f t="shared" si="4"/>
        <v>0</v>
      </c>
      <c r="T17" s="211">
        <f t="shared" si="4"/>
        <v>0</v>
      </c>
      <c r="U17" s="211">
        <f t="shared" ref="U17:Z17" si="5">SUM(U9:U15)</f>
        <v>0</v>
      </c>
      <c r="V17" s="211">
        <f t="shared" si="5"/>
        <v>0</v>
      </c>
      <c r="W17" s="211">
        <f t="shared" si="5"/>
        <v>0</v>
      </c>
      <c r="X17" s="211">
        <f t="shared" si="5"/>
        <v>0</v>
      </c>
      <c r="Y17" s="211">
        <f t="shared" si="5"/>
        <v>0</v>
      </c>
      <c r="Z17" s="211">
        <f t="shared" si="5"/>
        <v>0</v>
      </c>
    </row>
    <row r="18" spans="2:26" x14ac:dyDescent="0.3"/>
    <row r="19" spans="2:26" s="53" customFormat="1" hidden="1" x14ac:dyDescent="0.3">
      <c r="B19" s="55"/>
      <c r="C19" s="55"/>
      <c r="D19" s="55"/>
      <c r="E19" s="55"/>
      <c r="F19" s="55"/>
      <c r="G19" s="55"/>
    </row>
  </sheetData>
  <sheetProtection sheet="1" selectLockedCells="1"/>
  <mergeCells count="11">
    <mergeCell ref="B5:B6"/>
    <mergeCell ref="C5:C6"/>
    <mergeCell ref="D5:D6"/>
    <mergeCell ref="H5:M5"/>
    <mergeCell ref="E7:G7"/>
    <mergeCell ref="O5:S5"/>
    <mergeCell ref="T5:T6"/>
    <mergeCell ref="U5:Y5"/>
    <mergeCell ref="Z5:Z6"/>
    <mergeCell ref="E5:G5"/>
    <mergeCell ref="N5:N6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ignoredErrors>
    <ignoredError sqref="D7 J7 H7:I7 K7:M7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lha11">
    <tabColor theme="4" tint="0.59999389629810485"/>
  </sheetPr>
  <dimension ref="A1:K58"/>
  <sheetViews>
    <sheetView showGridLines="0" zoomScaleNormal="100" workbookViewId="0">
      <selection activeCell="D8" sqref="D8"/>
    </sheetView>
  </sheetViews>
  <sheetFormatPr defaultColWidth="0" defaultRowHeight="15" customHeight="1" zeroHeight="1" x14ac:dyDescent="0.3"/>
  <cols>
    <col min="1" max="1" width="4.109375" style="38" customWidth="1"/>
    <col min="2" max="2" width="57.33203125" style="39" customWidth="1"/>
    <col min="3" max="5" width="14.109375" style="39" customWidth="1"/>
    <col min="6" max="8" width="14.109375" style="38" customWidth="1"/>
    <col min="9" max="10" width="12.6640625" style="38" customWidth="1"/>
    <col min="11" max="11" width="6.33203125" style="38" customWidth="1"/>
    <col min="12" max="16384" width="9.109375" style="38" hidden="1"/>
  </cols>
  <sheetData>
    <row r="1" spans="1:11" ht="15" customHeight="1" x14ac:dyDescent="0.3"/>
    <row r="2" spans="1:11" ht="15" customHeight="1" x14ac:dyDescent="0.3"/>
    <row r="3" spans="1:11" ht="14.4" customHeight="1" x14ac:dyDescent="0.3">
      <c r="B3" s="86"/>
      <c r="C3" s="86"/>
      <c r="D3" s="86"/>
      <c r="E3" s="86"/>
      <c r="F3" s="86"/>
      <c r="G3" s="86"/>
      <c r="H3" s="86"/>
      <c r="I3" s="86"/>
    </row>
    <row r="4" spans="1:11" ht="14.4" x14ac:dyDescent="0.3">
      <c r="B4" s="87"/>
      <c r="C4" s="374"/>
      <c r="D4" s="374"/>
      <c r="E4" s="374"/>
      <c r="F4" s="375"/>
      <c r="G4" s="375"/>
      <c r="H4" s="376" t="s">
        <v>147</v>
      </c>
      <c r="I4" s="377"/>
      <c r="J4" s="375"/>
    </row>
    <row r="5" spans="1:11" ht="15" customHeight="1" x14ac:dyDescent="0.3">
      <c r="B5" s="468" t="s">
        <v>168</v>
      </c>
      <c r="C5" s="10">
        <f>IF(Instruções!C10="","",IF(ISERROR(Instruções!C10),"",Instruções!C10-1))</f>
        <v>2023</v>
      </c>
      <c r="D5" s="10">
        <f>IF(Instruções!$C$10="","",IF(ISERROR(Instruções!$C$10),"",Instruções!$C$10))</f>
        <v>2024</v>
      </c>
      <c r="E5" s="10">
        <f>IF(Instruções!$C$10="","",IF(ISERROR(Instruções!$C$10),"",Instruções!$C$10))</f>
        <v>2024</v>
      </c>
      <c r="F5" s="362">
        <f>IF(Instruções!C10="","",IF(ISERROR(Instruções!C10),"",Instruções!C10+1))</f>
        <v>2025</v>
      </c>
      <c r="G5" s="362">
        <f>IF(Instruções!C10="","",IF(ISERROR(Instruções!C10),"",Instruções!C10+2))</f>
        <v>2026</v>
      </c>
      <c r="H5" s="362">
        <f>IF(Instruções!C10="","",IF(ISERROR(Instruções!C10),"",Instruções!C10+3))</f>
        <v>2027</v>
      </c>
      <c r="I5" s="469" t="str">
        <f>IF(ISERROR("Δ ("&amp;Instruções!C10+1&amp;"-"&amp;Instruções!C10&amp;")"),"","Δ ("&amp;Instruções!C10+1&amp;"-"&amp;Instruções!C10&amp;")")</f>
        <v>Δ (2025-2024)</v>
      </c>
      <c r="J5" s="469"/>
    </row>
    <row r="6" spans="1:11" ht="14.25" customHeight="1" x14ac:dyDescent="0.3">
      <c r="B6" s="468"/>
      <c r="C6" s="11" t="str">
        <f>IF(C5="","","Execução")</f>
        <v>Execução</v>
      </c>
      <c r="D6" s="11" t="str">
        <f>IF(D5="","","PAO")</f>
        <v>PAO</v>
      </c>
      <c r="E6" s="11" t="str">
        <f>IF(E5="","","Estimativa")</f>
        <v>Estimativa</v>
      </c>
      <c r="F6" s="47" t="str">
        <f>IF(F5="","","Previsão")</f>
        <v>Previsão</v>
      </c>
      <c r="G6" s="47" t="str">
        <f>IF(G5="","","Previsão")</f>
        <v>Previsão</v>
      </c>
      <c r="H6" s="47" t="str">
        <f>IF(H5="","","Previsão")</f>
        <v>Previsão</v>
      </c>
      <c r="I6" s="11" t="s">
        <v>117</v>
      </c>
      <c r="J6" s="11" t="s">
        <v>118</v>
      </c>
    </row>
    <row r="7" spans="1:11" ht="3" customHeight="1" x14ac:dyDescent="0.3">
      <c r="B7" s="38"/>
      <c r="C7" s="345"/>
      <c r="D7" s="339"/>
      <c r="E7" s="339"/>
      <c r="F7" s="339"/>
      <c r="G7" s="339"/>
      <c r="H7" s="339"/>
      <c r="I7" s="339"/>
      <c r="J7" s="346"/>
    </row>
    <row r="8" spans="1:11" ht="14.4" x14ac:dyDescent="0.3">
      <c r="B8" s="65" t="s">
        <v>166</v>
      </c>
      <c r="C8" s="70" t="str">
        <f>IF(Patrimonio_2023="","",Patrimonio_2023)</f>
        <v/>
      </c>
      <c r="D8" s="93"/>
      <c r="E8" s="66" t="str">
        <f>IF(Patrimonio_2024="","",Patrimonio_2024)</f>
        <v/>
      </c>
      <c r="F8" s="66" t="str">
        <f>IF(Patrimonio_2025="","",Patrimonio_2025)</f>
        <v/>
      </c>
      <c r="G8" s="66" t="str">
        <f>IF(Patrimonio_2026="","",Patrimonio_2026)</f>
        <v/>
      </c>
      <c r="H8" s="66" t="str">
        <f>IF(Patrimonio_2027="","",Patrimonio_2027)</f>
        <v/>
      </c>
      <c r="I8" s="66" t="str">
        <f>IF(AND(E8="",F8=""),"",IF(ISERROR(F8-E8),"",F8-E8))</f>
        <v/>
      </c>
      <c r="J8" s="111" t="str">
        <f t="shared" ref="J8:J10" si="0">IFERROR(I8/ABS(E8),"")</f>
        <v/>
      </c>
    </row>
    <row r="9" spans="1:11" ht="14.4" x14ac:dyDescent="0.3">
      <c r="B9" s="65" t="s">
        <v>234</v>
      </c>
      <c r="C9" s="70" t="str">
        <f>IF(AND(FO_PNC_2023="",FO_PC_2023=""),"",FO_PNC_2023+FO_PC_2023)</f>
        <v/>
      </c>
      <c r="D9" s="93"/>
      <c r="E9" s="66" t="str">
        <f>IF(AND(FO_PNC_2024="",FO_PC_2024=""),"",FO_PNC_2024+FO_PC_2024)</f>
        <v/>
      </c>
      <c r="F9" s="66" t="str">
        <f>IF(AND(FO_PNC_2025="",FO_PC_2025=""),"",FO_PNC_2025+FO_PC_2025)</f>
        <v/>
      </c>
      <c r="G9" s="66" t="str">
        <f>IF(AND(FO_PNC_2026="",FO_PC_2026=""),"",FO_PNC_2026+FO_PC_2026)</f>
        <v/>
      </c>
      <c r="H9" s="66" t="str">
        <f>IF(AND(FO_PNC_2027="",FO_PC_2027=""),"",FO_PNC_2027+FO_PC_2027)</f>
        <v/>
      </c>
      <c r="I9" s="66" t="str">
        <f t="shared" ref="I9" si="1">IF(AND(E9="",F9=""),"",IF(ISERROR(F9-E9),"",F9-E9))</f>
        <v/>
      </c>
      <c r="J9" s="111" t="str">
        <f t="shared" si="0"/>
        <v/>
      </c>
    </row>
    <row r="10" spans="1:11" ht="14.4" x14ac:dyDescent="0.3">
      <c r="B10" s="65" t="s">
        <v>167</v>
      </c>
      <c r="C10" s="342"/>
      <c r="D10" s="93"/>
      <c r="E10" s="93"/>
      <c r="F10" s="93"/>
      <c r="G10" s="93"/>
      <c r="H10" s="93"/>
      <c r="I10" s="66" t="str">
        <f t="shared" ref="I10" si="2">IF(AND(E10="",F10=""),"",IF(ISERROR(F10-E10),"",F10-E10))</f>
        <v/>
      </c>
      <c r="J10" s="71" t="str">
        <f t="shared" si="0"/>
        <v/>
      </c>
    </row>
    <row r="11" spans="1:11" ht="6.75" customHeight="1" x14ac:dyDescent="0.3">
      <c r="B11" s="73"/>
      <c r="C11" s="348"/>
      <c r="D11" s="349"/>
      <c r="E11" s="350"/>
      <c r="F11" s="350"/>
      <c r="G11" s="350"/>
      <c r="H11" s="350"/>
      <c r="I11" s="350"/>
      <c r="J11" s="351"/>
      <c r="K11" s="89"/>
    </row>
    <row r="12" spans="1:11" ht="21" customHeight="1" x14ac:dyDescent="0.3">
      <c r="B12" s="51" t="s">
        <v>293</v>
      </c>
      <c r="C12" s="352"/>
      <c r="D12" s="353" t="str">
        <f>IFERROR(((D9-IF(C9="",0,C9))+(D8-C8)-D10)/(IF(C9="",0,C9)+C8),"")</f>
        <v/>
      </c>
      <c r="E12" s="353" t="str">
        <f>IFERROR(((E9-IF(C9="",0,C9))+(E8-C8)-E10)/(IF(C9="",0,C9)+C8),"")</f>
        <v/>
      </c>
      <c r="F12" s="353" t="str">
        <f>IFERROR(((F9-IF(E9="",0,E9))+(F8-E8)-F10)/(IF(E9="",0,E9)+E8),"")</f>
        <v/>
      </c>
      <c r="G12" s="353" t="str">
        <f>IFERROR(((G9-IF(F9="",0,F9))+(G8-F8)-G10)/(IF(F9="",0,F9)+F8),"")</f>
        <v/>
      </c>
      <c r="H12" s="353" t="str">
        <f>IFERROR(((H9-IF(G9="",0,G9))+(H8-G8)-H10)/(IF(G9="",0,G9)+G8),"")</f>
        <v/>
      </c>
      <c r="I12" s="352" t="str">
        <f>IF(ISERROR(F12-E12),"",(F12-E12)*1000)</f>
        <v/>
      </c>
      <c r="J12" s="78"/>
    </row>
    <row r="13" spans="1:11" s="83" customFormat="1" ht="14.4" x14ac:dyDescent="0.3">
      <c r="A13" s="38"/>
      <c r="B13" s="38"/>
      <c r="C13" s="354"/>
      <c r="D13" s="355"/>
      <c r="E13" s="355"/>
      <c r="F13" s="355"/>
      <c r="G13" s="390">
        <f>SUM(G8:G10)</f>
        <v>0</v>
      </c>
      <c r="H13" s="355"/>
      <c r="I13" s="355"/>
      <c r="J13" s="356"/>
    </row>
    <row r="14" spans="1:11" ht="14.4" x14ac:dyDescent="0.3">
      <c r="B14" s="81"/>
      <c r="C14" s="357"/>
      <c r="D14" s="358"/>
      <c r="E14" s="358"/>
      <c r="F14" s="358"/>
      <c r="G14" s="359"/>
      <c r="H14" s="360" t="s">
        <v>147</v>
      </c>
      <c r="I14" s="361" t="s">
        <v>169</v>
      </c>
      <c r="J14" s="346"/>
    </row>
    <row r="15" spans="1:11" ht="15" customHeight="1" x14ac:dyDescent="0.3">
      <c r="B15" s="453" t="s">
        <v>170</v>
      </c>
      <c r="C15" s="10">
        <f>IF(Instruções!C10="","",IF(ISERROR(Instruções!C10),"",Instruções!C10-1))</f>
        <v>2023</v>
      </c>
      <c r="D15" s="10">
        <f>IF(Instruções!$C$10="","",IF(ISERROR(Instruções!$C$10),"",Instruções!$C$10))</f>
        <v>2024</v>
      </c>
      <c r="E15" s="10">
        <f>IF(Instruções!C10="","",IF(ISERROR(Instruções!C10),"",Instruções!C10))</f>
        <v>2024</v>
      </c>
      <c r="F15" s="362">
        <f>IF(Instruções!C10="","",IF(ISERROR(Instruções!C10),"",Instruções!C10+1))</f>
        <v>2025</v>
      </c>
      <c r="G15" s="362">
        <f>IF(Instruções!C10="","",IF(ISERROR(Instruções!C10),"",Instruções!C10+2))</f>
        <v>2026</v>
      </c>
      <c r="H15" s="362">
        <f>IF(Instruções!C10="","",IF(ISERROR(Instruções!C10),"",Instruções!C10+3))</f>
        <v>2027</v>
      </c>
      <c r="I15" s="469" t="str">
        <f>IF(ISERROR("Δ ("&amp;Instruções!C10+1&amp;"-"&amp;Instruções!C10&amp;")"),"","Δ ("&amp;Instruções!C10+1&amp;"-"&amp;Instruções!C10&amp;")")</f>
        <v>Δ (2025-2024)</v>
      </c>
      <c r="J15" s="469"/>
    </row>
    <row r="16" spans="1:11" ht="15" customHeight="1" x14ac:dyDescent="0.3">
      <c r="B16" s="453"/>
      <c r="C16" s="11" t="str">
        <f>IF(C15="","","Execução")</f>
        <v>Execução</v>
      </c>
      <c r="D16" s="11" t="str">
        <f>IF(D15="","","PAO")</f>
        <v>PAO</v>
      </c>
      <c r="E16" s="11" t="str">
        <f>IF(E15="","","Estimativa")</f>
        <v>Estimativa</v>
      </c>
      <c r="F16" s="47" t="str">
        <f>IF(F15="","","Previsão")</f>
        <v>Previsão</v>
      </c>
      <c r="G16" s="47" t="str">
        <f>IF(G15="","","Previsão")</f>
        <v>Previsão</v>
      </c>
      <c r="H16" s="47" t="str">
        <f>IF(H15="","","Previsão")</f>
        <v>Previsão</v>
      </c>
      <c r="I16" s="11" t="s">
        <v>117</v>
      </c>
      <c r="J16" s="11" t="s">
        <v>118</v>
      </c>
    </row>
    <row r="17" spans="2:10" ht="3" customHeight="1" x14ac:dyDescent="0.3">
      <c r="B17" s="38"/>
      <c r="C17" s="345"/>
      <c r="D17" s="339"/>
      <c r="E17" s="339"/>
      <c r="F17" s="339"/>
      <c r="G17" s="339"/>
      <c r="H17" s="339"/>
      <c r="I17" s="339"/>
      <c r="J17" s="346"/>
    </row>
    <row r="18" spans="2:10" ht="22.5" customHeight="1" x14ac:dyDescent="0.3">
      <c r="B18" s="41" t="s">
        <v>171</v>
      </c>
      <c r="C18" s="93"/>
      <c r="D18" s="93"/>
      <c r="E18" s="93"/>
      <c r="F18" s="93"/>
      <c r="G18" s="93"/>
      <c r="H18" s="93"/>
      <c r="I18" s="66" t="str">
        <f t="shared" ref="I18" si="3">IF(AND(E18="",F18=""),"",IF(ISERROR(F18-E18),"",F18-E18))</f>
        <v/>
      </c>
      <c r="J18" s="111" t="str">
        <f t="shared" ref="J18" si="4">IFERROR(I18/ABS(E18),"")</f>
        <v/>
      </c>
    </row>
    <row r="19" spans="2:10" ht="15" customHeight="1" x14ac:dyDescent="0.3">
      <c r="C19" s="342"/>
      <c r="D19" s="343"/>
      <c r="E19" s="343"/>
      <c r="F19" s="344"/>
      <c r="G19" s="344"/>
      <c r="H19" s="344"/>
      <c r="I19" s="339"/>
      <c r="J19" s="346"/>
    </row>
    <row r="20" spans="2:10" ht="22.5" customHeight="1" x14ac:dyDescent="0.3">
      <c r="B20" s="41" t="s">
        <v>172</v>
      </c>
      <c r="C20" s="93"/>
      <c r="D20" s="93"/>
      <c r="E20" s="93"/>
      <c r="F20" s="93"/>
      <c r="G20" s="93"/>
      <c r="H20" s="93"/>
      <c r="I20" s="66" t="str">
        <f t="shared" ref="I20" si="5">IF(AND(E20="",F20=""),"",IF(ISERROR(F20-E20),"",F20-E20))</f>
        <v/>
      </c>
      <c r="J20" s="111" t="str">
        <f t="shared" ref="J20" si="6">IFERROR(I20/ABS(E20),"")</f>
        <v/>
      </c>
    </row>
    <row r="21" spans="2:10" ht="15" customHeight="1" x14ac:dyDescent="0.3">
      <c r="C21" s="363"/>
      <c r="D21" s="364"/>
      <c r="E21" s="364"/>
      <c r="F21" s="339"/>
      <c r="G21" s="339"/>
      <c r="H21" s="339"/>
      <c r="I21" s="339"/>
      <c r="J21" s="346"/>
    </row>
    <row r="22" spans="2:10" ht="15" customHeight="1" x14ac:dyDescent="0.3">
      <c r="C22" s="363"/>
      <c r="D22" s="364"/>
      <c r="E22" s="364"/>
      <c r="F22" s="339"/>
      <c r="G22" s="339"/>
      <c r="H22" s="360" t="s">
        <v>147</v>
      </c>
      <c r="I22" s="361" t="s">
        <v>0</v>
      </c>
      <c r="J22" s="346"/>
    </row>
    <row r="23" spans="2:10" ht="15" customHeight="1" x14ac:dyDescent="0.3">
      <c r="B23" s="453" t="s">
        <v>227</v>
      </c>
      <c r="C23" s="10">
        <f>IF(Instruções!$C$10="","",IF(ISERROR(Instruções!$C$10),"",Instruções!$C$10-1))</f>
        <v>2023</v>
      </c>
      <c r="D23" s="10">
        <f>IF(Instruções!$C$10="","",IF(ISERROR(Instruções!$C$10),"",Instruções!$C$10))</f>
        <v>2024</v>
      </c>
      <c r="E23" s="10">
        <f>IF(Instruções!$C$10="","",IF(ISERROR(Instruções!$C$10),"",Instruções!$C$10))</f>
        <v>2024</v>
      </c>
      <c r="F23" s="362">
        <f>IF(Instruções!C10="","",IF(ISERROR(Instruções!C10),"",Instruções!C10+1))</f>
        <v>2025</v>
      </c>
      <c r="G23" s="362">
        <f>IF(Instruções!C10="","",IF(ISERROR(Instruções!C10),"",Instruções!C10+2))</f>
        <v>2026</v>
      </c>
      <c r="H23" s="362">
        <f>IF(Instruções!C10="","",IF(ISERROR(Instruções!C10),"",Instruções!C10+3))</f>
        <v>2027</v>
      </c>
      <c r="I23" s="469" t="str">
        <f>IF(ISERROR("Δ ("&amp;Instruções!$C$10+1&amp;"-"&amp;Instruções!$C$10&amp;")"),"","Δ ("&amp;Instruções!$C$10+1&amp;"-"&amp;Instruções!$C$10&amp;")")</f>
        <v>Δ (2025-2024)</v>
      </c>
      <c r="J23" s="469">
        <f>'Eficiência operacional'!J$5</f>
        <v>0</v>
      </c>
    </row>
    <row r="24" spans="2:10" ht="15" customHeight="1" x14ac:dyDescent="0.3">
      <c r="B24" s="453"/>
      <c r="C24" s="11" t="str">
        <f>IF(C23="","","Execução")</f>
        <v>Execução</v>
      </c>
      <c r="D24" s="11" t="str">
        <f>IF(D23="","","PAO")</f>
        <v>PAO</v>
      </c>
      <c r="E24" s="11" t="str">
        <f>IF(E23="","","Estimativa")</f>
        <v>Estimativa</v>
      </c>
      <c r="F24" s="47" t="str">
        <f>IF(F23="","","Previsão")</f>
        <v>Previsão</v>
      </c>
      <c r="G24" s="47" t="str">
        <f>IF(G23="","","Previsão")</f>
        <v>Previsão</v>
      </c>
      <c r="H24" s="47" t="str">
        <f>IF(H23="","","Previsão")</f>
        <v>Previsão</v>
      </c>
      <c r="I24" s="11" t="s">
        <v>117</v>
      </c>
      <c r="J24" s="11" t="s">
        <v>118</v>
      </c>
    </row>
    <row r="25" spans="2:10" ht="3" customHeight="1" x14ac:dyDescent="0.3">
      <c r="B25" s="169"/>
      <c r="C25" s="365"/>
      <c r="D25" s="366"/>
      <c r="E25" s="367"/>
      <c r="F25" s="367"/>
      <c r="G25" s="367"/>
      <c r="H25" s="367"/>
      <c r="I25" s="368"/>
      <c r="J25" s="369"/>
    </row>
    <row r="26" spans="2:10" ht="15" customHeight="1" x14ac:dyDescent="0.3">
      <c r="B26" s="65" t="s">
        <v>223</v>
      </c>
      <c r="C26" s="93"/>
      <c r="D26" s="93"/>
      <c r="E26" s="93"/>
      <c r="F26" s="93"/>
      <c r="G26" s="93"/>
      <c r="H26" s="93"/>
      <c r="I26" s="66" t="str">
        <f t="shared" ref="I26:I33" si="7">IF(AND(E26="",F26=""),"",IF(ISERROR(F26-E26),"",F26-E26))</f>
        <v/>
      </c>
      <c r="J26" s="111" t="str">
        <f t="shared" ref="J26:J33" si="8">IFERROR(I26/ABS(E26),"")</f>
        <v/>
      </c>
    </row>
    <row r="27" spans="2:10" ht="15" customHeight="1" x14ac:dyDescent="0.3">
      <c r="B27" s="65" t="s">
        <v>224</v>
      </c>
      <c r="C27" s="93"/>
      <c r="D27" s="93"/>
      <c r="E27" s="93"/>
      <c r="F27" s="93"/>
      <c r="G27" s="93"/>
      <c r="H27" s="93"/>
      <c r="I27" s="66" t="str">
        <f t="shared" si="7"/>
        <v/>
      </c>
      <c r="J27" s="111" t="str">
        <f t="shared" si="8"/>
        <v/>
      </c>
    </row>
    <row r="28" spans="2:10" ht="15" customHeight="1" x14ac:dyDescent="0.3">
      <c r="B28" s="65" t="s">
        <v>225</v>
      </c>
      <c r="C28" s="93"/>
      <c r="D28" s="93"/>
      <c r="E28" s="93"/>
      <c r="F28" s="93"/>
      <c r="G28" s="93"/>
      <c r="H28" s="93"/>
      <c r="I28" s="66" t="str">
        <f t="shared" si="7"/>
        <v/>
      </c>
      <c r="J28" s="111" t="str">
        <f t="shared" si="8"/>
        <v/>
      </c>
    </row>
    <row r="29" spans="2:10" ht="15" customHeight="1" x14ac:dyDescent="0.3">
      <c r="B29" s="65" t="s">
        <v>226</v>
      </c>
      <c r="C29" s="93"/>
      <c r="D29" s="93"/>
      <c r="E29" s="93"/>
      <c r="F29" s="93"/>
      <c r="G29" s="93"/>
      <c r="H29" s="93"/>
      <c r="I29" s="66" t="str">
        <f t="shared" si="7"/>
        <v/>
      </c>
      <c r="J29" s="111" t="str">
        <f t="shared" si="8"/>
        <v/>
      </c>
    </row>
    <row r="30" spans="2:10" ht="15" customHeight="1" x14ac:dyDescent="0.3">
      <c r="B30" s="65" t="s">
        <v>129</v>
      </c>
      <c r="C30" s="93"/>
      <c r="D30" s="93"/>
      <c r="E30" s="93"/>
      <c r="F30" s="93"/>
      <c r="G30" s="93"/>
      <c r="H30" s="93"/>
      <c r="I30" s="66" t="str">
        <f t="shared" si="7"/>
        <v/>
      </c>
      <c r="J30" s="111" t="str">
        <f t="shared" si="8"/>
        <v/>
      </c>
    </row>
    <row r="31" spans="2:10" ht="15" customHeight="1" x14ac:dyDescent="0.3">
      <c r="B31" s="65" t="s">
        <v>130</v>
      </c>
      <c r="C31" s="93"/>
      <c r="D31" s="93"/>
      <c r="E31" s="93"/>
      <c r="F31" s="93"/>
      <c r="G31" s="93"/>
      <c r="H31" s="93"/>
      <c r="I31" s="66" t="str">
        <f t="shared" si="7"/>
        <v/>
      </c>
      <c r="J31" s="111" t="str">
        <f t="shared" si="8"/>
        <v/>
      </c>
    </row>
    <row r="32" spans="2:10" ht="15" customHeight="1" x14ac:dyDescent="0.3">
      <c r="B32" s="65" t="s">
        <v>131</v>
      </c>
      <c r="C32" s="93"/>
      <c r="D32" s="93"/>
      <c r="E32" s="93"/>
      <c r="F32" s="93"/>
      <c r="G32" s="93"/>
      <c r="H32" s="93"/>
      <c r="I32" s="66" t="str">
        <f t="shared" si="7"/>
        <v/>
      </c>
      <c r="J32" s="111" t="str">
        <f t="shared" si="8"/>
        <v/>
      </c>
    </row>
    <row r="33" spans="2:10" ht="15" customHeight="1" x14ac:dyDescent="0.3">
      <c r="B33" s="65" t="s">
        <v>132</v>
      </c>
      <c r="C33" s="93"/>
      <c r="D33" s="93"/>
      <c r="E33" s="93"/>
      <c r="F33" s="93"/>
      <c r="G33" s="93"/>
      <c r="H33" s="93"/>
      <c r="I33" s="66" t="str">
        <f t="shared" si="7"/>
        <v/>
      </c>
      <c r="J33" s="111" t="str">
        <f t="shared" si="8"/>
        <v/>
      </c>
    </row>
    <row r="34" spans="2:10" ht="3" customHeight="1" x14ac:dyDescent="0.3">
      <c r="B34" s="38"/>
      <c r="C34" s="370"/>
      <c r="D34" s="371"/>
      <c r="E34" s="371"/>
      <c r="F34" s="371"/>
      <c r="G34" s="371"/>
      <c r="H34" s="371"/>
      <c r="I34" s="371"/>
      <c r="J34" s="346"/>
    </row>
    <row r="35" spans="2:10" ht="15" customHeight="1" x14ac:dyDescent="0.3">
      <c r="B35" s="51" t="s">
        <v>123</v>
      </c>
      <c r="C35" s="92" t="str">
        <f t="shared" ref="C35:H35" si="9">IF(COUNT(C26:C33)=0,"",SUM(C26:C33))</f>
        <v/>
      </c>
      <c r="D35" s="372" t="str">
        <f t="shared" si="9"/>
        <v/>
      </c>
      <c r="E35" s="372" t="str">
        <f t="shared" si="9"/>
        <v/>
      </c>
      <c r="F35" s="372" t="str">
        <f t="shared" si="9"/>
        <v/>
      </c>
      <c r="G35" s="372" t="str">
        <f t="shared" si="9"/>
        <v/>
      </c>
      <c r="H35" s="372" t="str">
        <f t="shared" si="9"/>
        <v/>
      </c>
      <c r="I35" s="372" t="str">
        <f>IF(AND(E35="",F35=""),"",IF(ISERROR(F35-E35),"",F35-E35))</f>
        <v/>
      </c>
      <c r="J35" s="78" t="str">
        <f>IFERROR(I35/ABS(E35),"")</f>
        <v/>
      </c>
    </row>
    <row r="36" spans="2:10" ht="15" customHeight="1" x14ac:dyDescent="0.3">
      <c r="B36" s="82" t="str">
        <f>"Fonte: Proposta de PAO para "&amp;Instruções!C12</f>
        <v>Fonte: Proposta de PAO para 2025-2027</v>
      </c>
      <c r="C36" s="354"/>
      <c r="D36" s="355"/>
      <c r="E36" s="373"/>
      <c r="F36" s="373"/>
      <c r="G36" s="339"/>
      <c r="H36" s="339"/>
      <c r="I36" s="339"/>
      <c r="J36" s="346"/>
    </row>
    <row r="37" spans="2:10" ht="15" customHeight="1" x14ac:dyDescent="0.3">
      <c r="B37" s="82"/>
      <c r="C37" s="354"/>
      <c r="D37" s="355"/>
      <c r="E37" s="373"/>
      <c r="F37" s="373"/>
      <c r="G37" s="339"/>
      <c r="H37" s="339"/>
      <c r="I37" s="339"/>
      <c r="J37" s="346"/>
    </row>
    <row r="38" spans="2:10" ht="15" customHeight="1" x14ac:dyDescent="0.3">
      <c r="B38" s="453" t="s">
        <v>269</v>
      </c>
      <c r="C38" s="10">
        <f>IF(Instruções!$C$10="","",IF(ISERROR(Instruções!$C$10),"",Instruções!$C$10-1))</f>
        <v>2023</v>
      </c>
      <c r="D38" s="10">
        <f>IF(Instruções!$C$10="","",IF(ISERROR(Instruções!$C$10),"",Instruções!$C$10))</f>
        <v>2024</v>
      </c>
      <c r="E38" s="10">
        <f>IF(Instruções!$C$10="","",IF(ISERROR(Instruções!$C$10),"",Instruções!$C$10))</f>
        <v>2024</v>
      </c>
      <c r="F38" s="362">
        <f>IF(Instruções!$C$10="","",IF(ISERROR(Instruções!$C$10),"",Instruções!$C$10+1))</f>
        <v>2025</v>
      </c>
      <c r="G38" s="362">
        <f>IF(Instruções!$C$10="","",IF(ISERROR(Instruções!$C$10),"",Instruções!$C$10+2))</f>
        <v>2026</v>
      </c>
      <c r="H38" s="362">
        <f>IF(Instruções!$C$10="","",IF(ISERROR(Instruções!$C$10),"",Instruções!$C$10+3))</f>
        <v>2027</v>
      </c>
      <c r="I38" s="469" t="str">
        <f>IF(ISERROR("Δ ("&amp;Instruções!$C$10+1&amp;"-"&amp;Instruções!$C$10&amp;")"),"","Δ ("&amp;Instruções!$C$10+1&amp;"-"&amp;Instruções!$C$10&amp;")")</f>
        <v>Δ (2025-2024)</v>
      </c>
      <c r="J38" s="469">
        <f>'Eficiência operacional'!J$5</f>
        <v>0</v>
      </c>
    </row>
    <row r="39" spans="2:10" ht="15" customHeight="1" x14ac:dyDescent="0.3">
      <c r="B39" s="453"/>
      <c r="C39" s="11" t="str">
        <f>IF(C38="","","Execução")</f>
        <v>Execução</v>
      </c>
      <c r="D39" s="11" t="str">
        <f>IF(D38="","","PAO")</f>
        <v>PAO</v>
      </c>
      <c r="E39" s="11" t="str">
        <f>IF(E38="","","Estimativa")</f>
        <v>Estimativa</v>
      </c>
      <c r="F39" s="47" t="str">
        <f>IF(F38="","","Previsão")</f>
        <v>Previsão</v>
      </c>
      <c r="G39" s="47" t="str">
        <f>IF(G38="","","Previsão")</f>
        <v>Previsão</v>
      </c>
      <c r="H39" s="47" t="str">
        <f>IF(H38="","","Previsão")</f>
        <v>Previsão</v>
      </c>
      <c r="I39" s="11" t="s">
        <v>117</v>
      </c>
      <c r="J39" s="11" t="s">
        <v>118</v>
      </c>
    </row>
    <row r="40" spans="2:10" ht="3" customHeight="1" x14ac:dyDescent="0.3">
      <c r="B40" s="254"/>
      <c r="C40" s="354"/>
      <c r="D40" s="355"/>
      <c r="E40" s="373"/>
      <c r="F40" s="373"/>
      <c r="G40" s="339"/>
      <c r="H40" s="339"/>
      <c r="I40" s="339"/>
      <c r="J40" s="346"/>
    </row>
    <row r="41" spans="2:10" ht="15" customHeight="1" x14ac:dyDescent="0.3">
      <c r="B41" s="65" t="s">
        <v>270</v>
      </c>
      <c r="C41" s="93"/>
      <c r="D41" s="93"/>
      <c r="E41" s="93"/>
      <c r="F41" s="93"/>
      <c r="G41" s="93"/>
      <c r="H41" s="93"/>
      <c r="I41" s="66" t="str">
        <f>IF(AND(E41="",F41=""),"",IF(ISERROR(F41-E41),"",F41-E41))</f>
        <v/>
      </c>
      <c r="J41" s="111" t="str">
        <f>IFERROR(I41/ABS(E41),"")</f>
        <v/>
      </c>
    </row>
    <row r="42" spans="2:10" ht="15" customHeight="1" x14ac:dyDescent="0.3">
      <c r="B42" s="65" t="s">
        <v>272</v>
      </c>
      <c r="C42" s="93"/>
      <c r="D42" s="93"/>
      <c r="E42" s="93"/>
      <c r="F42" s="93"/>
      <c r="G42" s="93"/>
      <c r="H42" s="93"/>
      <c r="I42" s="66" t="str">
        <f>IF(AND(E42="",F42=""),"",IF(ISERROR(F42-E42),"",F42-E42))</f>
        <v/>
      </c>
      <c r="J42" s="111" t="str">
        <f>IFERROR(I42/ABS(E42),"")</f>
        <v/>
      </c>
    </row>
    <row r="43" spans="2:10" ht="3" customHeight="1" x14ac:dyDescent="0.3">
      <c r="B43" s="255"/>
      <c r="C43" s="256"/>
      <c r="D43" s="256"/>
      <c r="E43" s="256"/>
      <c r="F43" s="256"/>
      <c r="G43" s="256"/>
      <c r="H43" s="256"/>
      <c r="I43" s="347"/>
      <c r="J43" s="253"/>
    </row>
    <row r="44" spans="2:10" ht="15" customHeight="1" x14ac:dyDescent="0.3">
      <c r="B44" s="65" t="s">
        <v>271</v>
      </c>
      <c r="C44" s="93"/>
      <c r="D44" s="93"/>
      <c r="E44" s="93"/>
      <c r="F44" s="93"/>
      <c r="G44" s="93"/>
      <c r="H44" s="93"/>
      <c r="I44" s="66" t="str">
        <f>IF(AND(E44="",F44=""),"",IF(ISERROR(F44-E44),"",F44-E44))</f>
        <v/>
      </c>
      <c r="J44" s="111" t="str">
        <f>IFERROR(I44/ABS(E44),"")</f>
        <v/>
      </c>
    </row>
    <row r="45" spans="2:10" ht="15" customHeight="1" x14ac:dyDescent="0.3">
      <c r="B45" s="65" t="s">
        <v>273</v>
      </c>
      <c r="C45" s="93"/>
      <c r="D45" s="93"/>
      <c r="E45" s="93"/>
      <c r="F45" s="93"/>
      <c r="G45" s="93"/>
      <c r="H45" s="93"/>
      <c r="I45" s="66" t="str">
        <f>IF(AND(E45="",F45=""),"",IF(ISERROR(F45-E45),"",F45-E45))</f>
        <v/>
      </c>
      <c r="J45" s="111" t="str">
        <f>IFERROR(I45/ABS(E45),"")</f>
        <v/>
      </c>
    </row>
    <row r="46" spans="2:10" ht="15" customHeight="1" x14ac:dyDescent="0.3">
      <c r="B46" s="82"/>
      <c r="C46" s="354"/>
      <c r="D46" s="355"/>
      <c r="E46" s="373"/>
      <c r="F46" s="373"/>
      <c r="G46" s="339"/>
      <c r="H46" s="339"/>
      <c r="I46" s="339"/>
      <c r="J46" s="346"/>
    </row>
    <row r="47" spans="2:10" ht="15" hidden="1" customHeight="1" x14ac:dyDescent="0.3"/>
    <row r="48" spans="2:10" ht="15" hidden="1" customHeight="1" x14ac:dyDescent="0.3"/>
    <row r="49" ht="15" hidden="1" customHeight="1" x14ac:dyDescent="0.3"/>
    <row r="50" ht="15" hidden="1" customHeight="1" x14ac:dyDescent="0.3"/>
    <row r="51" ht="15" hidden="1" customHeight="1" x14ac:dyDescent="0.3"/>
    <row r="52" ht="15" hidden="1" customHeight="1" x14ac:dyDescent="0.3"/>
    <row r="53" ht="15" hidden="1" customHeight="1" x14ac:dyDescent="0.3"/>
    <row r="54" ht="15" hidden="1" customHeight="1" x14ac:dyDescent="0.3"/>
    <row r="55" ht="15" hidden="1" customHeight="1" x14ac:dyDescent="0.3"/>
    <row r="56" ht="15" hidden="1" customHeight="1" x14ac:dyDescent="0.3"/>
    <row r="57" ht="15" hidden="1" customHeight="1" x14ac:dyDescent="0.3"/>
    <row r="58" ht="15" hidden="1" customHeight="1" x14ac:dyDescent="0.3"/>
  </sheetData>
  <sheetProtection sheet="1" selectLockedCells="1"/>
  <mergeCells count="8">
    <mergeCell ref="B38:B39"/>
    <mergeCell ref="I38:J38"/>
    <mergeCell ref="B5:B6"/>
    <mergeCell ref="I5:J5"/>
    <mergeCell ref="B15:B16"/>
    <mergeCell ref="I15:J15"/>
    <mergeCell ref="B23:B24"/>
    <mergeCell ref="I23:J23"/>
  </mergeCells>
  <dataValidations disablePrompts="1" count="5">
    <dataValidation type="custom" allowBlank="1" showInputMessage="1" showErrorMessage="1" errorTitle="Erro" error="Não introduzir dados nesta célula" sqref="H4:I4 H14:I14 H22:I22 C34:H34 I24:J24 B34:B37 C36:H37 I26:J37 F39:J39 I41:J45" xr:uid="{00000000-0002-0000-0A00-000000000000}">
      <formula1>"&lt;&gt;"""""</formula1>
    </dataValidation>
    <dataValidation type="custom" allowBlank="1" showInputMessage="1" errorTitle="Erro" error="Não introduzir dados nesta célula" sqref="B23:B24 C35:H35 B38" xr:uid="{00000000-0002-0000-0A00-000001000000}">
      <formula1>"&lt;&gt;"""""</formula1>
    </dataValidation>
    <dataValidation type="decimal" allowBlank="1" showInputMessage="1" showErrorMessage="1" errorTitle="Validação" error="Introduzir nº decimal" sqref="C30:D33 G30:H33" xr:uid="{00000000-0002-0000-0A00-000002000000}">
      <formula1>-1E+32</formula1>
      <formula2>1E+32</formula2>
    </dataValidation>
    <dataValidation allowBlank="1" showInputMessage="1" showErrorMessage="1" errorTitle="Erro" error="Não introduzir dados nesta célula" sqref="C23:H24 C38:E39 F38:J38 I23:J23 A40:XFD40 K46 B46:J46" xr:uid="{00000000-0002-0000-0A00-000003000000}"/>
    <dataValidation type="whole" operator="greaterThanOrEqual" allowBlank="1" showInputMessage="1" showErrorMessage="1" errorTitle="Erro" error="Inserir nº positivo_x000a_" sqref="E10:H10" xr:uid="{00000000-0002-0000-0A00-000004000000}">
      <formula1>0</formula1>
    </dataValidation>
  </dataValidations>
  <pageMargins left="0.7" right="0.7" top="0.75" bottom="0.75" header="0.3" footer="0.3"/>
  <pageSetup paperSize="9" scale="40" orientation="portrait" r:id="rId1"/>
  <ignoredErrors>
    <ignoredError sqref="E9 G8:H8 G9:H9" unlockedFormula="1"/>
    <ignoredError sqref="E12" 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lha12">
    <tabColor theme="9" tint="0.79998168889431442"/>
    <pageSetUpPr fitToPage="1"/>
  </sheetPr>
  <dimension ref="A1:AE54"/>
  <sheetViews>
    <sheetView showGridLines="0" zoomScaleNormal="100" workbookViewId="0">
      <selection activeCell="A4" sqref="A4"/>
    </sheetView>
  </sheetViews>
  <sheetFormatPr defaultColWidth="0" defaultRowHeight="14.4" zeroHeight="1" x14ac:dyDescent="0.3"/>
  <cols>
    <col min="1" max="1" width="4.109375" customWidth="1"/>
    <col min="2" max="2" width="53.109375" customWidth="1"/>
    <col min="3" max="3" width="0.6640625" customWidth="1"/>
    <col min="4" max="4" width="12.109375" customWidth="1"/>
    <col min="5" max="7" width="11.109375" bestFit="1" customWidth="1"/>
    <col min="8" max="8" width="0.6640625" customWidth="1"/>
    <col min="9" max="10" width="11.88671875" bestFit="1" customWidth="1"/>
    <col min="11" max="11" width="10.44140625" bestFit="1" customWidth="1"/>
    <col min="12" max="12" width="1" customWidth="1"/>
    <col min="13" max="13" width="11.33203125" bestFit="1" customWidth="1"/>
    <col min="14" max="14" width="3.5546875" customWidth="1"/>
    <col min="15" max="20" width="8" customWidth="1"/>
    <col min="21" max="21" width="6.33203125" customWidth="1"/>
    <col min="22" max="31" width="0" hidden="1" customWidth="1"/>
    <col min="32" max="16384" width="9.109375" hidden="1"/>
  </cols>
  <sheetData>
    <row r="1" spans="2:25" x14ac:dyDescent="0.3"/>
    <row r="2" spans="2:25" x14ac:dyDescent="0.3"/>
    <row r="3" spans="2:25" ht="14.4" customHeight="1" x14ac:dyDescent="0.3">
      <c r="U3" s="326"/>
    </row>
    <row r="4" spans="2:25" s="63" customFormat="1" x14ac:dyDescent="0.3">
      <c r="F4" s="170" t="s">
        <v>290</v>
      </c>
      <c r="G4" s="322">
        <v>1000</v>
      </c>
      <c r="P4" s="153"/>
      <c r="U4" s="378"/>
    </row>
    <row r="5" spans="2:25" ht="15" customHeight="1" x14ac:dyDescent="0.3">
      <c r="B5" s="464" t="s">
        <v>335</v>
      </c>
      <c r="D5" s="162">
        <f>IF(Instruções!C10="","",IF(ISERROR(Instruções!C10),"",Instruções!C10))</f>
        <v>2024</v>
      </c>
      <c r="E5" s="197">
        <f>IF(Instruções!C10="","",IF(ISERROR(Instruções!C10),"",Instruções!C10+1))</f>
        <v>2025</v>
      </c>
      <c r="F5" s="197">
        <f>IF(Instruções!C10="","",IF(ISERROR(Instruções!C10),"",Instruções!C10+2))</f>
        <v>2026</v>
      </c>
      <c r="G5" s="248">
        <f>IF(Instruções!C10="","",IF(ISERROR(Instruções!C10),"",Instruções!C10+3))</f>
        <v>2027</v>
      </c>
      <c r="I5" s="488" t="str">
        <f>IF(Instruções!C10="","",Instruções!C10+1&amp;" vs "&amp;Instruções!C10)</f>
        <v>2025 vs 2024</v>
      </c>
      <c r="J5" s="490" t="str">
        <f>IF(Instruções!C10="","",Instruções!C10+2&amp;" vs "&amp;Instruções!C10+1)</f>
        <v>2026 vs 2025</v>
      </c>
      <c r="K5" s="490" t="str">
        <f>IF(Instruções!C10="","",Instruções!C10+3&amp;" vs "&amp;Instruções!C10+2)</f>
        <v>2027 vs 2026</v>
      </c>
      <c r="L5" s="200"/>
      <c r="M5" s="481" t="s">
        <v>159</v>
      </c>
      <c r="O5" s="485" t="s">
        <v>328</v>
      </c>
      <c r="P5" s="486"/>
      <c r="Q5" s="487"/>
      <c r="R5" s="483" t="s">
        <v>160</v>
      </c>
      <c r="S5" s="484"/>
      <c r="T5" s="484"/>
      <c r="U5" s="326"/>
      <c r="V5" s="56"/>
      <c r="Y5" s="203"/>
    </row>
    <row r="6" spans="2:25" x14ac:dyDescent="0.3">
      <c r="B6" s="464"/>
      <c r="D6" s="198" t="str">
        <f>IF(D5="","","Estimativa")</f>
        <v>Estimativa</v>
      </c>
      <c r="E6" s="199" t="str">
        <f>IF(E5="","","Previsão")</f>
        <v>Previsão</v>
      </c>
      <c r="F6" s="199" t="str">
        <f>IF(F5="","","Previsão")</f>
        <v>Previsão</v>
      </c>
      <c r="G6" s="249" t="str">
        <f>IF(G5="","","Previsão")</f>
        <v>Previsão</v>
      </c>
      <c r="I6" s="489"/>
      <c r="J6" s="491"/>
      <c r="K6" s="491"/>
      <c r="L6" s="200"/>
      <c r="M6" s="482"/>
      <c r="O6" s="58" t="s">
        <v>161</v>
      </c>
      <c r="P6" s="58" t="s">
        <v>162</v>
      </c>
      <c r="Q6" s="58" t="s">
        <v>163</v>
      </c>
      <c r="R6" s="58" t="s">
        <v>161</v>
      </c>
      <c r="S6" s="58" t="s">
        <v>162</v>
      </c>
      <c r="T6" s="58" t="s">
        <v>163</v>
      </c>
      <c r="U6" s="326"/>
      <c r="V6" s="56"/>
      <c r="Y6" s="204"/>
    </row>
    <row r="7" spans="2:25" ht="4.5" customHeight="1" x14ac:dyDescent="0.3">
      <c r="B7" s="40"/>
      <c r="I7" s="57"/>
      <c r="J7" s="57"/>
      <c r="K7" s="57"/>
      <c r="M7" s="57"/>
      <c r="U7" s="326"/>
      <c r="V7" s="56"/>
    </row>
    <row r="8" spans="2:25" s="36" customFormat="1" ht="13.8" x14ac:dyDescent="0.25">
      <c r="B8" s="104" t="s">
        <v>292</v>
      </c>
      <c r="C8" s="101"/>
      <c r="D8" s="100"/>
      <c r="E8" s="100"/>
      <c r="F8" s="100"/>
      <c r="G8" s="100"/>
      <c r="I8" s="274"/>
      <c r="J8" s="274"/>
      <c r="K8" s="274"/>
      <c r="L8" s="273"/>
      <c r="M8" s="274"/>
      <c r="N8" s="393"/>
      <c r="O8" s="274"/>
      <c r="P8" s="274"/>
      <c r="Q8" s="274"/>
      <c r="R8" s="274"/>
      <c r="S8" s="274"/>
      <c r="T8" s="274"/>
      <c r="U8" s="329"/>
      <c r="V8" s="105"/>
      <c r="X8" s="98"/>
      <c r="Y8" s="99"/>
    </row>
    <row r="9" spans="2:25" s="36" customFormat="1" ht="13.8" x14ac:dyDescent="0.25">
      <c r="B9" s="106" t="s">
        <v>164</v>
      </c>
      <c r="C9" s="101"/>
      <c r="D9" s="493">
        <f>Instruções!E16</f>
        <v>4.5</v>
      </c>
      <c r="E9" s="493">
        <f>Instruções!F16</f>
        <v>4.5</v>
      </c>
      <c r="F9" s="493">
        <f>Instruções!G16</f>
        <v>4.5</v>
      </c>
      <c r="G9" s="493">
        <f>Instruções!H16</f>
        <v>3.8</v>
      </c>
      <c r="I9" s="272">
        <f>+Instruções!F16/100</f>
        <v>4.4999999999999998E-2</v>
      </c>
      <c r="J9" s="272">
        <f>+Instruções!G16/100</f>
        <v>4.4999999999999998E-2</v>
      </c>
      <c r="K9" s="272">
        <f>+Instruções!H16/100</f>
        <v>3.7999999999999999E-2</v>
      </c>
      <c r="L9" s="273"/>
      <c r="M9" s="272">
        <f>IFERROR(+GEOMEAN(I9:K9),"")</f>
        <v>4.2533998170530739E-2</v>
      </c>
      <c r="N9" s="393"/>
      <c r="O9" s="107"/>
      <c r="P9" s="107"/>
      <c r="Q9" s="107"/>
      <c r="R9" s="107"/>
      <c r="S9" s="107"/>
      <c r="T9" s="107"/>
      <c r="U9" s="329"/>
      <c r="V9" s="105"/>
      <c r="X9" s="98"/>
      <c r="Y9" s="99"/>
    </row>
    <row r="10" spans="2:25" s="36" customFormat="1" ht="14.25" customHeight="1" x14ac:dyDescent="0.25">
      <c r="B10" s="106" t="s">
        <v>300</v>
      </c>
      <c r="C10" s="101"/>
      <c r="D10" s="493">
        <f>Instruções!E18</f>
        <v>1.5</v>
      </c>
      <c r="E10" s="493">
        <f>Instruções!F18</f>
        <v>1.9</v>
      </c>
      <c r="F10" s="493">
        <f>Instruções!G18</f>
        <v>2</v>
      </c>
      <c r="G10" s="493">
        <f>Instruções!H18</f>
        <v>1.5</v>
      </c>
      <c r="I10" s="272">
        <f>+Instruções!F18/100</f>
        <v>1.9E-2</v>
      </c>
      <c r="J10" s="272">
        <f>+Instruções!G18/100</f>
        <v>0.02</v>
      </c>
      <c r="K10" s="272">
        <f>+Instruções!H18/100</f>
        <v>1.4999999999999999E-2</v>
      </c>
      <c r="L10" s="273"/>
      <c r="M10" s="272">
        <f t="shared" ref="M10:M11" si="0">IFERROR(+GEOMEAN(I10:K10),"")</f>
        <v>1.7863159877080564E-2</v>
      </c>
      <c r="N10" s="393"/>
      <c r="O10" s="107"/>
      <c r="P10" s="107"/>
      <c r="Q10" s="107"/>
      <c r="R10" s="107"/>
      <c r="S10" s="107"/>
      <c r="T10" s="107"/>
      <c r="U10" s="329"/>
      <c r="V10" s="105"/>
      <c r="X10" s="98"/>
      <c r="Y10" s="99"/>
    </row>
    <row r="11" spans="2:25" s="36" customFormat="1" ht="14.25" customHeight="1" x14ac:dyDescent="0.25">
      <c r="B11" s="106" t="s">
        <v>340</v>
      </c>
      <c r="C11" s="101"/>
      <c r="D11" s="493">
        <f>Instruções!E25</f>
        <v>2.5</v>
      </c>
      <c r="E11" s="493">
        <f>Instruções!F25</f>
        <v>2.1</v>
      </c>
      <c r="F11" s="493">
        <f>Instruções!G25</f>
        <v>2</v>
      </c>
      <c r="G11" s="493">
        <f>Instruções!H25</f>
        <v>2</v>
      </c>
      <c r="I11" s="272">
        <f>+Instruções!F25/100</f>
        <v>2.1000000000000001E-2</v>
      </c>
      <c r="J11" s="272">
        <f>+Instruções!G25/100</f>
        <v>0.02</v>
      </c>
      <c r="K11" s="272">
        <f>+Instruções!H25/100</f>
        <v>0.02</v>
      </c>
      <c r="L11" s="273"/>
      <c r="M11" s="272">
        <f t="shared" si="0"/>
        <v>2.032792713629707E-2</v>
      </c>
      <c r="N11" s="393"/>
      <c r="O11" s="107"/>
      <c r="P11" s="107"/>
      <c r="Q11" s="107"/>
      <c r="R11" s="107"/>
      <c r="S11" s="107"/>
      <c r="T11" s="107"/>
      <c r="U11" s="329"/>
      <c r="V11" s="105"/>
      <c r="X11" s="98"/>
      <c r="Y11" s="99"/>
    </row>
    <row r="12" spans="2:25" s="36" customFormat="1" ht="3.75" customHeight="1" x14ac:dyDescent="0.25">
      <c r="B12" s="108"/>
      <c r="C12" s="101"/>
      <c r="I12" s="273"/>
      <c r="J12" s="273"/>
      <c r="K12" s="273"/>
      <c r="L12" s="273"/>
      <c r="M12" s="273"/>
      <c r="N12" s="393"/>
      <c r="O12" s="273"/>
      <c r="P12" s="273"/>
      <c r="Q12" s="273"/>
      <c r="R12" s="273"/>
      <c r="S12" s="273"/>
      <c r="T12" s="273"/>
      <c r="U12" s="329"/>
      <c r="V12" s="101"/>
      <c r="X12" s="98"/>
      <c r="Y12" s="98"/>
    </row>
    <row r="13" spans="2:25" s="36" customFormat="1" ht="14.25" customHeight="1" x14ac:dyDescent="0.25">
      <c r="B13" s="109" t="s">
        <v>294</v>
      </c>
      <c r="C13" s="101"/>
      <c r="D13" s="69" t="str">
        <f>IFERROR('Eficiência operacional'!E21/$G$4,"")</f>
        <v/>
      </c>
      <c r="E13" s="69" t="str">
        <f>IFERROR('Eficiência operacional'!F21/$G$4,"")</f>
        <v/>
      </c>
      <c r="F13" s="69" t="str">
        <f>IFERROR('Eficiência operacional'!G21/$G$4,"")</f>
        <v/>
      </c>
      <c r="G13" s="67" t="str">
        <f>IFERROR('Eficiência operacional'!H21/$G$4,"")</f>
        <v/>
      </c>
      <c r="I13" s="278" t="str">
        <f>IF(AND(E13="",D13=""),"",IFERROR(E13/D13-1,""))</f>
        <v/>
      </c>
      <c r="J13" s="278" t="str">
        <f>IF(AND(F13="",E13=""),"",IFERROR(F13/E13-1,""))</f>
        <v/>
      </c>
      <c r="K13" s="278" t="str">
        <f t="shared" ref="K13" si="1">IF(AND(G13="",F13=""),"",IFERROR(G13/F13-1,""))</f>
        <v/>
      </c>
      <c r="L13" s="273"/>
      <c r="M13" s="267" t="str">
        <f>IFERROR(($G13/$D13)^(1/($G$5-$D$5))-1,"")</f>
        <v/>
      </c>
      <c r="N13" s="393"/>
      <c r="O13" s="268" t="str">
        <f>IF(I13="","",IF(I13&lt;I9,"S",""))</f>
        <v/>
      </c>
      <c r="P13" s="268" t="str">
        <f>IF(I13="","",IF(I13&gt;I9,"N",""))</f>
        <v/>
      </c>
      <c r="Q13" s="394"/>
      <c r="R13" s="119" t="str">
        <f>IF(M13="","",IF(M13&lt;M9,"S",""))</f>
        <v/>
      </c>
      <c r="S13" s="119" t="str">
        <f>IF(M13="","",IF(M13&gt;M9,"N",""))</f>
        <v/>
      </c>
      <c r="T13" s="395"/>
      <c r="U13" s="329"/>
      <c r="V13" s="105"/>
      <c r="X13" s="98"/>
      <c r="Y13" s="201"/>
    </row>
    <row r="14" spans="2:25" s="36" customFormat="1" ht="14.25" customHeight="1" x14ac:dyDescent="0.25">
      <c r="B14" s="109" t="s">
        <v>313</v>
      </c>
      <c r="C14" s="101"/>
      <c r="D14" s="69">
        <f>IFERROR(DR!F34/$G$4,"")</f>
        <v>0</v>
      </c>
      <c r="E14" s="69">
        <f>IFERROR(DR!J34/$G$4,"")</f>
        <v>0</v>
      </c>
      <c r="F14" s="69">
        <f>IFERROR(DR!K34/$G$4,"")</f>
        <v>0</v>
      </c>
      <c r="G14" s="67">
        <f>IFERROR(DR!L34/$G$4,"")</f>
        <v>0</v>
      </c>
      <c r="I14" s="110">
        <f t="shared" ref="I14:K14" si="2">IF(OR(E14="",D14=""),"",IFERROR(E14-D14,""))</f>
        <v>0</v>
      </c>
      <c r="J14" s="110">
        <f t="shared" si="2"/>
        <v>0</v>
      </c>
      <c r="K14" s="110">
        <f t="shared" si="2"/>
        <v>0</v>
      </c>
      <c r="L14" s="273"/>
      <c r="M14" s="110">
        <f t="shared" ref="M14:M20" si="3">IFERROR(AVERAGE(I14:K14),"")</f>
        <v>0</v>
      </c>
      <c r="N14" s="393"/>
      <c r="O14" s="268" t="str">
        <f>IF($I14="","",IF($I14&gt;=0,"S",""))</f>
        <v>S</v>
      </c>
      <c r="P14" s="268" t="str">
        <f>IF($I14="","",IF($I14&lt;0,"N",""))</f>
        <v/>
      </c>
      <c r="Q14" s="394"/>
      <c r="R14" s="268" t="str">
        <f>IF($M14="","",IF($M14&gt;=0,"S",""))</f>
        <v>S</v>
      </c>
      <c r="S14" s="268" t="str">
        <f>IF($M14="","",IF($M14&lt;0,"N",""))</f>
        <v/>
      </c>
      <c r="T14" s="395"/>
      <c r="U14" s="329"/>
      <c r="V14" s="105"/>
      <c r="X14" s="98"/>
      <c r="Y14" s="99"/>
    </row>
    <row r="15" spans="2:25" s="36" customFormat="1" ht="14.25" customHeight="1" x14ac:dyDescent="0.25">
      <c r="B15" s="109" t="s">
        <v>295</v>
      </c>
      <c r="C15" s="101"/>
      <c r="D15" s="69">
        <f>IFERROR(DR!F43/$G$4,"")</f>
        <v>0</v>
      </c>
      <c r="E15" s="69">
        <f>IFERROR(DR!J43/$G$4,"")</f>
        <v>0</v>
      </c>
      <c r="F15" s="69">
        <f>IFERROR(DR!K43/$G$4,"")</f>
        <v>0</v>
      </c>
      <c r="G15" s="67">
        <f>IFERROR(DR!L43/$G$4,"")</f>
        <v>0</v>
      </c>
      <c r="I15" s="110">
        <f t="shared" ref="I15" si="4">IF(OR(E15="",D15=""),"",IFERROR(E15-D15,""))</f>
        <v>0</v>
      </c>
      <c r="J15" s="110">
        <f t="shared" ref="J15" si="5">IF(OR(F15="",E15=""),"",IFERROR(F15-E15,""))</f>
        <v>0</v>
      </c>
      <c r="K15" s="110">
        <f>IF(OR(G15="",F15=""),"",IFERROR(G15-F15,""))</f>
        <v>0</v>
      </c>
      <c r="L15" s="273"/>
      <c r="M15" s="110">
        <f t="shared" si="3"/>
        <v>0</v>
      </c>
      <c r="N15" s="393"/>
      <c r="O15" s="268" t="str">
        <f>IF($I15="","",IF($I15&gt;=0,"S",""))</f>
        <v>S</v>
      </c>
      <c r="P15" s="268" t="str">
        <f>IF($I15="","",IF($I15&lt;0,"N",""))</f>
        <v/>
      </c>
      <c r="Q15" s="394"/>
      <c r="R15" s="268" t="str">
        <f>IF($M15="","",IF($M15&gt;=0,"S",""))</f>
        <v>S</v>
      </c>
      <c r="S15" s="268" t="str">
        <f>IF($M15="","",IF($M15&lt;0,"N",""))</f>
        <v/>
      </c>
      <c r="T15" s="395"/>
      <c r="U15" s="329"/>
      <c r="V15" s="105"/>
      <c r="X15" s="98"/>
      <c r="Y15" s="201"/>
    </row>
    <row r="16" spans="2:25" s="36" customFormat="1" ht="14.25" customHeight="1" x14ac:dyDescent="0.25">
      <c r="B16" s="109" t="s">
        <v>297</v>
      </c>
      <c r="C16" s="101"/>
      <c r="D16" s="269" t="str">
        <f>IFERROR('Rácios Financeiros'!E$9,"")</f>
        <v/>
      </c>
      <c r="E16" s="269" t="str">
        <f>IFERROR('Rácios Financeiros'!F$9,"")</f>
        <v/>
      </c>
      <c r="F16" s="269" t="str">
        <f>IFERROR('Rácios Financeiros'!G$9,"")</f>
        <v/>
      </c>
      <c r="G16" s="270" t="str">
        <f>IFERROR('Rácios Financeiros'!H$9,"")</f>
        <v/>
      </c>
      <c r="I16" s="271" t="str">
        <f t="shared" ref="I16" si="6">IF(OR(E16="",D16=""),"",IFERROR((E16-D16)*1000,""))</f>
        <v/>
      </c>
      <c r="J16" s="271" t="str">
        <f>IF(OR(F16="",E16=""),"",IFERROR((F16-E16)*1000,""))</f>
        <v/>
      </c>
      <c r="K16" s="271" t="str">
        <f t="shared" ref="K16" si="7">IF(OR(G16="",F16=""),"",IFERROR((G16-F16)*1000,""))</f>
        <v/>
      </c>
      <c r="L16" s="273"/>
      <c r="M16" s="271" t="str">
        <f t="shared" si="3"/>
        <v/>
      </c>
      <c r="N16" s="393"/>
      <c r="O16" s="268" t="str">
        <f>IF($I16="","",IF($I16&gt;=0,"S",""))</f>
        <v/>
      </c>
      <c r="P16" s="268" t="str">
        <f>IF($I16="","",IF($I16&lt;0,"N",""))</f>
        <v/>
      </c>
      <c r="Q16" s="394"/>
      <c r="R16" s="268" t="str">
        <f>IF($M16="","",IF($M16&gt;=0,"S",""))</f>
        <v/>
      </c>
      <c r="S16" s="268" t="str">
        <f>IF($M16="","",IF($M16&lt;0,"N",""))</f>
        <v/>
      </c>
      <c r="T16" s="395"/>
      <c r="U16" s="329"/>
      <c r="V16" s="105"/>
      <c r="X16" s="98"/>
      <c r="Y16" s="201"/>
    </row>
    <row r="17" spans="2:25" s="36" customFormat="1" ht="14.25" customHeight="1" x14ac:dyDescent="0.25">
      <c r="B17" s="109" t="s">
        <v>296</v>
      </c>
      <c r="C17" s="101"/>
      <c r="D17" s="294" t="str">
        <f>IFERROR('Rácios Financeiros'!E$15,"")</f>
        <v/>
      </c>
      <c r="E17" s="294" t="str">
        <f>IFERROR('Rácios Financeiros'!F$15,"")</f>
        <v/>
      </c>
      <c r="F17" s="294" t="str">
        <f>IFERROR('Rácios Financeiros'!G$15,"")</f>
        <v/>
      </c>
      <c r="G17" s="295" t="str">
        <f>IFERROR('Rácios Financeiros'!H$15,"")</f>
        <v/>
      </c>
      <c r="H17" s="296"/>
      <c r="I17" s="297" t="str">
        <f>IF(OR(E17="",D17=""),"",IFERROR(E17-D17,""))</f>
        <v/>
      </c>
      <c r="J17" s="297" t="str">
        <f t="shared" ref="J17" si="8">IF(OR(F17="",E17=""),"",IFERROR(F17-E17,""))</f>
        <v/>
      </c>
      <c r="K17" s="297" t="str">
        <f t="shared" ref="K17" si="9">IF(OR(G17="",F17=""),"",IFERROR(G17-F17,""))</f>
        <v/>
      </c>
      <c r="L17" s="391"/>
      <c r="M17" s="297" t="str">
        <f t="shared" si="3"/>
        <v/>
      </c>
      <c r="N17" s="393"/>
      <c r="O17" s="268" t="str">
        <f>IF($I17="","",IF($I17&gt;=0,"S",""))</f>
        <v/>
      </c>
      <c r="P17" s="268" t="str">
        <f>IF($I17="","",IF($I17&lt;0,"N",""))</f>
        <v/>
      </c>
      <c r="Q17" s="394"/>
      <c r="R17" s="268" t="str">
        <f>IF($M17="","",IF($M17&gt;=0,"S",""))</f>
        <v/>
      </c>
      <c r="S17" s="268" t="str">
        <f>IF($M17="","",IF($M17&lt;0,"N",""))</f>
        <v/>
      </c>
      <c r="T17" s="395"/>
      <c r="U17" s="329"/>
      <c r="V17" s="105"/>
      <c r="X17" s="98"/>
      <c r="Y17" s="201"/>
    </row>
    <row r="18" spans="2:25" s="36" customFormat="1" ht="14.25" customHeight="1" x14ac:dyDescent="0.25">
      <c r="B18" s="109" t="s">
        <v>298</v>
      </c>
      <c r="C18" s="101"/>
      <c r="D18" s="269" t="str">
        <f>IFERROR('Rácios Financeiros'!E$10,"")</f>
        <v/>
      </c>
      <c r="E18" s="269" t="str">
        <f>IFERROR('Rácios Financeiros'!F$10,"")</f>
        <v/>
      </c>
      <c r="F18" s="269" t="str">
        <f>IFERROR('Rácios Financeiros'!G$10,"")</f>
        <v/>
      </c>
      <c r="G18" s="270" t="str">
        <f>IFERROR('Rácios Financeiros'!H$10,"")</f>
        <v/>
      </c>
      <c r="I18" s="271" t="str">
        <f>IF(OR(E18="",D18=""),"",IFERROR((E18-D18)*1000,""))</f>
        <v/>
      </c>
      <c r="J18" s="271" t="str">
        <f>IF(OR(F18="",E18=""),"",IFERROR((F18-E18)*1000,""))</f>
        <v/>
      </c>
      <c r="K18" s="271" t="str">
        <f t="shared" ref="K18" si="10">IF(OR(G18="",F18=""),"",IFERROR((G18-F18)*1000,""))</f>
        <v/>
      </c>
      <c r="L18" s="273"/>
      <c r="M18" s="271" t="str">
        <f t="shared" si="3"/>
        <v/>
      </c>
      <c r="N18" s="393"/>
      <c r="O18" s="268" t="str">
        <f>IF($I18="","",IF($I18&gt;=0,"S",""))</f>
        <v/>
      </c>
      <c r="P18" s="268" t="str">
        <f>IF($I18="","",IF($I18&lt;0,"N",""))</f>
        <v/>
      </c>
      <c r="Q18" s="394"/>
      <c r="R18" s="268" t="str">
        <f>IF($M18="","",IF($M18&gt;=0,"S",""))</f>
        <v/>
      </c>
      <c r="S18" s="268" t="str">
        <f>IF($M18="","",IF($M18&lt;0,"N",""))</f>
        <v/>
      </c>
      <c r="T18" s="395"/>
      <c r="U18" s="329"/>
      <c r="V18" s="105"/>
      <c r="X18" s="98"/>
      <c r="Y18" s="201"/>
    </row>
    <row r="19" spans="2:25" s="36" customFormat="1" ht="14.25" customHeight="1" x14ac:dyDescent="0.25">
      <c r="B19" s="109" t="s">
        <v>339</v>
      </c>
      <c r="C19" s="101"/>
      <c r="D19" s="69">
        <f>IFERROR((SUM(Outros!E8:E9)-Outros!E10)/$G$4,"")</f>
        <v>0</v>
      </c>
      <c r="E19" s="69">
        <f>IFERROR((SUM(Outros!F8:F9)-Outros!F10)/$G$4,"")</f>
        <v>0</v>
      </c>
      <c r="F19" s="69">
        <f>IFERROR((SUM(Outros!G8:G9)-Outros!G10)/$G$4,"")</f>
        <v>0</v>
      </c>
      <c r="G19" s="66">
        <f>IFERROR((SUM(Outros!H8:H9)-Outros!H10)/$G$4,"")</f>
        <v>0</v>
      </c>
      <c r="I19" s="285">
        <f>IF(OR(E19="",D19=""),"",E19-D19)</f>
        <v>0</v>
      </c>
      <c r="J19" s="401">
        <f t="shared" ref="J19:K19" si="11">IF(OR(F19="",E19=""),"",F19-E19)</f>
        <v>0</v>
      </c>
      <c r="K19" s="285">
        <f t="shared" si="11"/>
        <v>0</v>
      </c>
      <c r="L19" s="273"/>
      <c r="M19" s="285">
        <f t="shared" si="3"/>
        <v>0</v>
      </c>
      <c r="N19" s="393"/>
      <c r="O19" s="121" t="str">
        <f>IF($I19=0,"",IF($I19&lt;=0,"S",""))</f>
        <v/>
      </c>
      <c r="P19" s="121" t="str">
        <f>IF($I19=0,"",IF($I19&lt;=0,"","N"))</f>
        <v/>
      </c>
      <c r="Q19" s="394"/>
      <c r="R19" s="121" t="str">
        <f>IF(M19=0,"",IF($M19&lt;=0,"S",""))</f>
        <v/>
      </c>
      <c r="S19" s="121" t="str">
        <f>IF(M19="","",IF($M19&lt;=0,"","N"))</f>
        <v/>
      </c>
      <c r="T19" s="395"/>
      <c r="U19" s="329"/>
      <c r="V19" s="105"/>
      <c r="X19" s="98"/>
      <c r="Y19" s="201"/>
    </row>
    <row r="20" spans="2:25" s="36" customFormat="1" ht="14.25" customHeight="1" x14ac:dyDescent="0.25">
      <c r="B20" s="109" t="s">
        <v>302</v>
      </c>
      <c r="C20" s="101"/>
      <c r="D20" s="59" t="str">
        <f>IF(Arrears_2024="","",Arrears_2024/$G$4)</f>
        <v/>
      </c>
      <c r="E20" s="59" t="str">
        <f>IF(Arrears_2025="","",Arrears_2025/$G$4)</f>
        <v/>
      </c>
      <c r="F20" s="59" t="str">
        <f>IF(Arrears_2026="","",Arrears_2026/$G$4)</f>
        <v/>
      </c>
      <c r="G20" s="250" t="str">
        <f>IF(Arrears_2027="","",Arrears_2027/$G$4)</f>
        <v/>
      </c>
      <c r="I20" s="110" t="str">
        <f>IF(OR(E20="",D20=""),"",IFERROR(E20-D20,""))</f>
        <v/>
      </c>
      <c r="J20" s="110" t="str">
        <f>IF(OR(F20="",E20=""),"",IFERROR(F20-E20,""))</f>
        <v/>
      </c>
      <c r="K20" s="110" t="str">
        <f>IF(OR(G20="",F20=""),"",IFERROR(G20-F20,""))</f>
        <v/>
      </c>
      <c r="L20" s="273"/>
      <c r="M20" s="110" t="str">
        <f t="shared" si="3"/>
        <v/>
      </c>
      <c r="N20" s="393"/>
      <c r="O20" s="121" t="str">
        <f>IF($I20=0,"",IF($I20&lt;=0,"S",""))</f>
        <v/>
      </c>
      <c r="P20" s="121" t="str">
        <f>IF($I20=0,"",IF($I20&lt;=0,"","N"))</f>
        <v>N</v>
      </c>
      <c r="Q20" s="394"/>
      <c r="R20" s="121" t="str">
        <f>IF(M20=0,"",IF($M20&lt;=0,"S",""))</f>
        <v/>
      </c>
      <c r="S20" s="121" t="str">
        <f>IF(M20="","",IF($M20&lt;=0,"","N"))</f>
        <v/>
      </c>
      <c r="T20" s="395"/>
      <c r="U20" s="329"/>
      <c r="V20" s="105"/>
      <c r="X20" s="98"/>
      <c r="Y20" s="201"/>
    </row>
    <row r="21" spans="2:25" s="36" customFormat="1" ht="3" customHeight="1" x14ac:dyDescent="0.25">
      <c r="B21" s="302"/>
      <c r="C21" s="303"/>
      <c r="D21" s="304"/>
      <c r="E21" s="304"/>
      <c r="F21" s="304"/>
      <c r="G21" s="305"/>
      <c r="H21" s="306"/>
      <c r="I21" s="307"/>
      <c r="J21" s="307"/>
      <c r="K21" s="307"/>
      <c r="L21" s="392"/>
      <c r="M21" s="307"/>
      <c r="N21" s="396"/>
      <c r="O21" s="308"/>
      <c r="P21" s="308"/>
      <c r="Q21" s="397"/>
      <c r="R21" s="308"/>
      <c r="S21" s="308"/>
      <c r="T21" s="398"/>
      <c r="U21" s="329"/>
      <c r="V21" s="300"/>
      <c r="X21" s="98"/>
      <c r="Y21" s="201"/>
    </row>
    <row r="22" spans="2:25" s="36" customFormat="1" ht="3" customHeight="1" x14ac:dyDescent="0.25">
      <c r="B22" s="109"/>
      <c r="C22" s="101"/>
      <c r="D22" s="309"/>
      <c r="E22" s="309"/>
      <c r="F22" s="309"/>
      <c r="G22" s="310"/>
      <c r="I22" s="301"/>
      <c r="J22" s="301"/>
      <c r="K22" s="301"/>
      <c r="L22" s="273"/>
      <c r="M22" s="301"/>
      <c r="N22" s="393"/>
      <c r="O22" s="121"/>
      <c r="P22" s="121"/>
      <c r="Q22" s="399"/>
      <c r="R22" s="121"/>
      <c r="S22" s="121"/>
      <c r="T22" s="400"/>
      <c r="U22" s="329"/>
      <c r="V22" s="300"/>
      <c r="X22" s="98"/>
      <c r="Y22" s="201"/>
    </row>
    <row r="23" spans="2:25" s="36" customFormat="1" ht="14.25" customHeight="1" x14ac:dyDescent="0.25">
      <c r="B23" s="109" t="s">
        <v>301</v>
      </c>
      <c r="C23" s="101"/>
      <c r="D23" s="66" t="str">
        <f>IFERROR((D13)/(1),"")</f>
        <v/>
      </c>
      <c r="E23" s="66" t="str">
        <f>IFERROR((E13)/(1+'Quadro Resumo'!E11/100),"")</f>
        <v/>
      </c>
      <c r="F23" s="66" t="str">
        <f>IFERROR((F13)/((1+'Quadro Resumo'!F11/100)*(1+'Quadro Resumo'!E11/100)),"")</f>
        <v/>
      </c>
      <c r="G23" s="66" t="str">
        <f>IFERROR((G13)/((1+'Quadro Resumo'!F11/100)*(1+'Quadro Resumo'!E11/100)*(1+G11/100)),"")</f>
        <v/>
      </c>
      <c r="I23" s="278" t="str">
        <f>IF(AND(E23="",D23=""),"",IFERROR(E23/D23-1,""))</f>
        <v/>
      </c>
      <c r="J23" s="278" t="str">
        <f t="shared" ref="J23" si="12">IF(AND(F23="",E23=""),"",IFERROR(F23/E23-1,""))</f>
        <v/>
      </c>
      <c r="K23" s="278" t="str">
        <f t="shared" ref="K23" si="13">IF(AND(G23="",F23=""),"",IFERROR(G23/F23-1,""))</f>
        <v/>
      </c>
      <c r="L23" s="273"/>
      <c r="M23" s="267" t="str">
        <f>IFERROR(($G23/$D23)^(1/($G$5-$D$5))-1,"")</f>
        <v/>
      </c>
      <c r="N23" s="393"/>
      <c r="O23" s="268" t="str">
        <f>IF(I23="","",IF(I23&lt;I10,"S",""))</f>
        <v/>
      </c>
      <c r="P23" s="268" t="str">
        <f>IF(I23="","",IF(I23&gt;I10,"N",""))</f>
        <v/>
      </c>
      <c r="Q23" s="394"/>
      <c r="R23" s="268" t="str">
        <f>IF(M23="","",IF(M23&lt;M10,"S",""))</f>
        <v/>
      </c>
      <c r="S23" s="268" t="str">
        <f>IF(M23="","",IF(M23&gt;M10,"N",""))</f>
        <v/>
      </c>
      <c r="T23" s="395"/>
      <c r="U23" s="329"/>
      <c r="V23" s="105"/>
      <c r="X23" s="98"/>
      <c r="Y23" s="99"/>
    </row>
    <row r="24" spans="2:25" s="36" customFormat="1" ht="14.25" customHeight="1" x14ac:dyDescent="0.25">
      <c r="B24" s="109" t="s">
        <v>307</v>
      </c>
      <c r="C24" s="101"/>
      <c r="D24" s="69" t="str">
        <f>IFERROR(GO_2024/$G$4,"")</f>
        <v/>
      </c>
      <c r="E24" s="69" t="str">
        <f>IFERROR(GO_2025/$G$4,"")</f>
        <v/>
      </c>
      <c r="F24" s="69" t="str">
        <f>IFERROR(GO_2026/$G$4,"")</f>
        <v/>
      </c>
      <c r="G24" s="67" t="str">
        <f>IFERROR(GO_2027/$G$4,"")</f>
        <v/>
      </c>
      <c r="I24" s="278" t="str">
        <f>IF(AND(E24="",D24=""),"",IFERROR(E24/D24-1,""))</f>
        <v/>
      </c>
      <c r="J24" s="278" t="str">
        <f>IF(AND(F24="",E24=""),"",IFERROR(F24/E24-1,""))</f>
        <v/>
      </c>
      <c r="K24" s="278" t="str">
        <f>IF(AND(G24="",F24=""),"",IFERROR(G24/F24-1,""))</f>
        <v/>
      </c>
      <c r="L24" s="273"/>
      <c r="M24" s="267" t="str">
        <f>IFERROR(($G24/$D24)^(1/($G$5-$D$5))-1,"")</f>
        <v/>
      </c>
      <c r="N24" s="393"/>
      <c r="O24" s="268" t="str">
        <f>IF(I24="","",IF(I24&lt;I13,"S",""))</f>
        <v/>
      </c>
      <c r="P24" s="268" t="str">
        <f>IF(I24="","",IF(I24&gt;I13,"N",""))</f>
        <v/>
      </c>
      <c r="Q24" s="394"/>
      <c r="R24" s="119" t="str">
        <f>IF(M24="","",IF(M24&lt;M13,"S",""))</f>
        <v/>
      </c>
      <c r="S24" s="119" t="str">
        <f>IF(M24="","",IF(M24&gt;M13,"N",""))</f>
        <v/>
      </c>
      <c r="T24" s="395"/>
      <c r="U24" s="329"/>
      <c r="V24" s="105"/>
      <c r="X24" s="98"/>
      <c r="Y24" s="201"/>
    </row>
    <row r="25" spans="2:25" s="36" customFormat="1" ht="3.75" customHeight="1" x14ac:dyDescent="0.25">
      <c r="B25" s="109"/>
      <c r="C25" s="101"/>
      <c r="I25" s="105"/>
      <c r="J25" s="105"/>
      <c r="K25" s="105"/>
      <c r="L25" s="273"/>
      <c r="M25" s="105"/>
      <c r="N25" s="393"/>
      <c r="O25" s="119"/>
      <c r="P25" s="119"/>
      <c r="Q25" s="119"/>
      <c r="R25" s="119"/>
      <c r="S25" s="119"/>
      <c r="T25" s="119"/>
      <c r="U25" s="329"/>
      <c r="V25" s="105"/>
      <c r="X25" s="98"/>
      <c r="Y25" s="202"/>
    </row>
    <row r="26" spans="2:25" s="36" customFormat="1" ht="13.8" x14ac:dyDescent="0.25">
      <c r="B26" s="104" t="s">
        <v>308</v>
      </c>
      <c r="C26" s="101"/>
      <c r="D26" s="100"/>
      <c r="E26" s="100"/>
      <c r="F26" s="100"/>
      <c r="G26" s="100"/>
      <c r="I26" s="274"/>
      <c r="J26" s="274"/>
      <c r="K26" s="274"/>
      <c r="L26" s="273"/>
      <c r="M26" s="274"/>
      <c r="N26" s="393"/>
      <c r="O26" s="120"/>
      <c r="P26" s="120"/>
      <c r="Q26" s="120"/>
      <c r="R26" s="120"/>
      <c r="S26" s="120"/>
      <c r="T26" s="120"/>
      <c r="U26" s="329"/>
      <c r="V26" s="105"/>
      <c r="X26" s="98"/>
      <c r="Y26" s="99"/>
    </row>
    <row r="27" spans="2:25" s="36" customFormat="1" ht="3.75" customHeight="1" x14ac:dyDescent="0.25">
      <c r="B27" s="108"/>
      <c r="C27" s="101"/>
      <c r="I27" s="273"/>
      <c r="J27" s="273"/>
      <c r="K27" s="273"/>
      <c r="L27" s="273"/>
      <c r="M27" s="273"/>
      <c r="N27" s="393"/>
      <c r="O27" s="118"/>
      <c r="P27" s="118"/>
      <c r="Q27" s="118"/>
      <c r="R27" s="118"/>
      <c r="S27" s="118"/>
      <c r="T27" s="118"/>
      <c r="U27" s="329"/>
      <c r="V27" s="105"/>
      <c r="X27" s="98"/>
      <c r="Y27" s="98"/>
    </row>
    <row r="28" spans="2:25" s="36" customFormat="1" ht="3" customHeight="1" x14ac:dyDescent="0.25">
      <c r="B28" s="109"/>
      <c r="C28" s="101"/>
      <c r="D28" s="109"/>
      <c r="E28" s="109"/>
      <c r="F28" s="109"/>
      <c r="G28" s="109"/>
      <c r="I28" s="298"/>
      <c r="J28" s="298"/>
      <c r="K28" s="298"/>
      <c r="L28" s="273"/>
      <c r="M28" s="298"/>
      <c r="N28" s="393"/>
      <c r="O28" s="299"/>
      <c r="P28" s="299"/>
      <c r="Q28" s="299"/>
      <c r="R28" s="299"/>
      <c r="S28" s="299"/>
      <c r="T28" s="299"/>
      <c r="U28" s="329"/>
      <c r="V28" s="300"/>
      <c r="X28" s="98"/>
      <c r="Y28" s="99"/>
    </row>
    <row r="29" spans="2:25" s="36" customFormat="1" ht="14.25" customHeight="1" x14ac:dyDescent="0.25">
      <c r="B29" s="109" t="s">
        <v>336</v>
      </c>
      <c r="C29" s="101"/>
      <c r="D29" s="69" t="str">
        <f>IFERROR(GO_2024/$G$4,"")</f>
        <v/>
      </c>
      <c r="E29" s="69" t="str">
        <f>IFERROR(GO_2025/$G$4/(1+I$11),"")</f>
        <v/>
      </c>
      <c r="F29" s="69" t="str">
        <f>IFERROR(GO_2026/$G$4/(1+J$11),"")</f>
        <v/>
      </c>
      <c r="G29" s="67" t="str">
        <f>IFERROR(GO_2027/$G$4/(1+K$11),"")</f>
        <v/>
      </c>
      <c r="I29" s="285" t="str">
        <f>IF(OR(E29="",D29=""),"",IFERROR(E29-D29,""))</f>
        <v/>
      </c>
      <c r="J29" s="285" t="str">
        <f t="shared" ref="J29:K29" si="14">IF(OR(F29="",E29=""),"",IFERROR(F29-E29,""))</f>
        <v/>
      </c>
      <c r="K29" s="285" t="str">
        <f t="shared" si="14"/>
        <v/>
      </c>
      <c r="L29" s="273"/>
      <c r="M29" s="285" t="str">
        <f>IFERROR(AVERAGE(I29:K29),"")</f>
        <v/>
      </c>
      <c r="N29" s="393"/>
      <c r="O29" s="121" t="str">
        <f>IF($I29=0,"",IF($I29&lt;=0,"S",""))</f>
        <v/>
      </c>
      <c r="P29" s="121" t="str">
        <f>IF($I29=0,"",IF($I29&lt;=0,"","N"))</f>
        <v>N</v>
      </c>
      <c r="Q29" s="394"/>
      <c r="R29" s="121" t="str">
        <f>IF(M29=0,"",IF($M29&lt;=0,"S",""))</f>
        <v/>
      </c>
      <c r="S29" s="121" t="str">
        <f>IF(M29="","",IF($M29&lt;=0,"","N"))</f>
        <v/>
      </c>
      <c r="T29" s="395"/>
      <c r="U29" s="329"/>
      <c r="V29" s="105"/>
      <c r="X29" s="98"/>
      <c r="Y29" s="99"/>
    </row>
    <row r="30" spans="2:25" s="154" customFormat="1" ht="13.8" x14ac:dyDescent="0.25">
      <c r="B30" s="316"/>
      <c r="C30" s="317"/>
      <c r="D30" s="318"/>
      <c r="E30" s="318"/>
      <c r="F30" s="318"/>
      <c r="G30" s="318"/>
      <c r="H30" s="317"/>
      <c r="I30" s="318"/>
      <c r="J30" s="318"/>
      <c r="K30" s="318"/>
      <c r="L30" s="317"/>
      <c r="M30" s="319"/>
      <c r="N30" s="319"/>
      <c r="O30" s="319"/>
      <c r="P30" s="320"/>
      <c r="Q30" s="318"/>
      <c r="R30" s="318"/>
      <c r="S30" s="316"/>
      <c r="T30" s="316"/>
      <c r="U30" s="379"/>
    </row>
    <row r="31" spans="2:25" s="63" customFormat="1" x14ac:dyDescent="0.3">
      <c r="U31" s="378"/>
    </row>
    <row r="32" spans="2:25" hidden="1" x14ac:dyDescent="0.3">
      <c r="U32" s="326"/>
    </row>
    <row r="33" spans="21:21" hidden="1" x14ac:dyDescent="0.3">
      <c r="U33" s="326"/>
    </row>
    <row r="34" spans="21:21" hidden="1" x14ac:dyDescent="0.3">
      <c r="U34" s="326"/>
    </row>
    <row r="35" spans="21:21" hidden="1" x14ac:dyDescent="0.3">
      <c r="U35" s="326"/>
    </row>
    <row r="36" spans="21:21" hidden="1" x14ac:dyDescent="0.3">
      <c r="U36" s="326"/>
    </row>
    <row r="37" spans="21:21" hidden="1" x14ac:dyDescent="0.3"/>
    <row r="38" spans="21:21" hidden="1" x14ac:dyDescent="0.3"/>
    <row r="39" spans="21:21" hidden="1" x14ac:dyDescent="0.3"/>
    <row r="40" spans="21:21" hidden="1" x14ac:dyDescent="0.3"/>
    <row r="41" spans="21:21" hidden="1" x14ac:dyDescent="0.3"/>
    <row r="42" spans="21:21" hidden="1" x14ac:dyDescent="0.3"/>
    <row r="43" spans="21:21" hidden="1" x14ac:dyDescent="0.3"/>
    <row r="44" spans="21:21" hidden="1" x14ac:dyDescent="0.3"/>
    <row r="45" spans="21:21" hidden="1" x14ac:dyDescent="0.3"/>
    <row r="46" spans="21:21" hidden="1" x14ac:dyDescent="0.3"/>
    <row r="47" spans="21:21" hidden="1" x14ac:dyDescent="0.3"/>
    <row r="48" spans="21:21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</sheetData>
  <sheetProtection sheet="1" selectLockedCells="1"/>
  <mergeCells count="7">
    <mergeCell ref="B5:B6"/>
    <mergeCell ref="M5:M6"/>
    <mergeCell ref="R5:T5"/>
    <mergeCell ref="O5:Q5"/>
    <mergeCell ref="I5:I6"/>
    <mergeCell ref="J5:J6"/>
    <mergeCell ref="K5:K6"/>
  </mergeCells>
  <conditionalFormatting sqref="I19:K19">
    <cfRule type="cellIs" dxfId="7" priority="21" operator="greaterThan">
      <formula>0</formula>
    </cfRule>
  </conditionalFormatting>
  <conditionalFormatting sqref="I23:K23">
    <cfRule type="cellIs" dxfId="6" priority="16" operator="lessThan">
      <formula>0</formula>
    </cfRule>
  </conditionalFormatting>
  <conditionalFormatting sqref="I29:K29">
    <cfRule type="cellIs" dxfId="5" priority="2" operator="greaterThan">
      <formula>0</formula>
    </cfRule>
  </conditionalFormatting>
  <conditionalFormatting sqref="I14:M18">
    <cfRule type="cellIs" dxfId="4" priority="19" operator="lessThan">
      <formula>0</formula>
    </cfRule>
  </conditionalFormatting>
  <conditionalFormatting sqref="I20:M20">
    <cfRule type="cellIs" dxfId="3" priority="20" operator="greaterThan">
      <formula>0</formula>
    </cfRule>
  </conditionalFormatting>
  <conditionalFormatting sqref="M19">
    <cfRule type="cellIs" dxfId="2" priority="26" operator="greaterThan">
      <formula>0</formula>
    </cfRule>
  </conditionalFormatting>
  <conditionalFormatting sqref="M23">
    <cfRule type="expression" priority="156" stopIfTrue="1">
      <formula>$M$13=""</formula>
    </cfRule>
    <cfRule type="expression" dxfId="1" priority="157">
      <formula>M23&lt;M10</formula>
    </cfRule>
  </conditionalFormatting>
  <conditionalFormatting sqref="M29">
    <cfRule type="cellIs" dxfId="0" priority="1" operator="greaterThan">
      <formula>0</formula>
    </cfRule>
  </conditionalFormatting>
  <dataValidations xWindow="1446" yWindow="443" count="2">
    <dataValidation allowBlank="1" showInputMessage="1" showErrorMessage="1" promptTitle="Informação" prompt="Se não for aplicável, escreva nesta célula N/A" sqref="T29 Q29 Q13:Q24 T13:T24" xr:uid="{00000000-0002-0000-0B00-000000000000}"/>
    <dataValidation type="decimal" allowBlank="1" showInputMessage="1" showErrorMessage="1" errorTitle="Validação" error="Introduzir nº decimal" sqref="D23:G23" xr:uid="{00000000-0002-0000-0B00-000001000000}">
      <formula1>-1E+22</formula1>
      <formula2>1E+22</formula2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landscape" r:id="rId1"/>
  <ignoredErrors>
    <ignoredError sqref="D5:K6" unlockedFormula="1"/>
    <ignoredError sqref="I16:M16 I17:K17" 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13">
    <tabColor theme="9" tint="0.79998168889431442"/>
    <pageSetUpPr fitToPage="1"/>
  </sheetPr>
  <dimension ref="A1:I26"/>
  <sheetViews>
    <sheetView showGridLines="0" workbookViewId="0">
      <pane ySplit="6" topLeftCell="A7" activePane="bottomLeft" state="frozen"/>
      <selection pane="bottomLeft"/>
    </sheetView>
  </sheetViews>
  <sheetFormatPr defaultColWidth="0" defaultRowHeight="14.4" zeroHeight="1" x14ac:dyDescent="0.3"/>
  <cols>
    <col min="1" max="1" width="4.109375" customWidth="1"/>
    <col min="2" max="2" width="25.44140625" customWidth="1"/>
    <col min="3" max="3" width="19.33203125" bestFit="1" customWidth="1"/>
    <col min="4" max="8" width="19.6640625" customWidth="1"/>
    <col min="9" max="9" width="6.33203125" customWidth="1"/>
    <col min="10" max="16384" width="9.109375" hidden="1"/>
  </cols>
  <sheetData>
    <row r="1" spans="1:8" x14ac:dyDescent="0.3"/>
    <row r="2" spans="1:8" x14ac:dyDescent="0.3"/>
    <row r="3" spans="1:8" x14ac:dyDescent="0.3"/>
    <row r="4" spans="1:8" ht="14.4" customHeight="1" x14ac:dyDescent="0.3">
      <c r="G4" s="26" t="s">
        <v>147</v>
      </c>
      <c r="H4" s="25" t="s">
        <v>118</v>
      </c>
    </row>
    <row r="5" spans="1:8" ht="15" customHeight="1" x14ac:dyDescent="0.3">
      <c r="B5" s="453" t="s">
        <v>119</v>
      </c>
      <c r="C5" s="453" t="s">
        <v>133</v>
      </c>
      <c r="D5" s="10">
        <f>IF(Instruções!C10="","",IF(ISERROR(Instruções!C10),"",Instruções!C10-1))</f>
        <v>2023</v>
      </c>
      <c r="E5" s="10">
        <f>IF(Instruções!C10="","",IF(ISERROR(Instruções!C10),"",Instruções!C10))</f>
        <v>2024</v>
      </c>
      <c r="F5" s="362">
        <f>IF(Instruções!C10="","",IF(ISERROR(Instruções!C10),"",Instruções!C10+1))</f>
        <v>2025</v>
      </c>
      <c r="G5" s="362">
        <f>IF(Instruções!C10="","",IF(ISERROR(Instruções!C10),"",Instruções!C10+2))</f>
        <v>2026</v>
      </c>
      <c r="H5" s="362">
        <f>IF(Instruções!C10="","",IF(ISERROR(Instruções!C10),"",Instruções!C10+3))</f>
        <v>2027</v>
      </c>
    </row>
    <row r="6" spans="1:8" ht="15" customHeight="1" x14ac:dyDescent="0.3">
      <c r="B6" s="453"/>
      <c r="C6" s="453"/>
      <c r="D6" s="11" t="str">
        <f>IF(D5="","","Execução")</f>
        <v>Execução</v>
      </c>
      <c r="E6" s="11" t="str">
        <f>IF(D5="","","Estimativa")</f>
        <v>Estimativa</v>
      </c>
      <c r="F6" s="47" t="str">
        <f>IF(E5="","","Previsão")</f>
        <v>Previsão</v>
      </c>
      <c r="G6" s="47" t="str">
        <f>IF(F5="","","Previsão")</f>
        <v>Previsão</v>
      </c>
      <c r="H6" s="47" t="str">
        <f>IF(G5="","","Previsão")</f>
        <v>Previsão</v>
      </c>
    </row>
    <row r="7" spans="1:8" ht="6" customHeight="1" x14ac:dyDescent="0.3">
      <c r="C7" s="163"/>
    </row>
    <row r="8" spans="1:8" ht="31.5" customHeight="1" x14ac:dyDescent="0.3">
      <c r="A8" s="36"/>
      <c r="B8" s="41" t="s">
        <v>136</v>
      </c>
      <c r="C8" s="41" t="s">
        <v>134</v>
      </c>
      <c r="D8" s="111" t="str">
        <f>IFERROR(EBITDA_2023/'Eficiência operacional'!C21,"")</f>
        <v/>
      </c>
      <c r="E8" s="111" t="str">
        <f>IFERROR(EBITDA_2024/'Eficiência operacional'!E21,"")</f>
        <v/>
      </c>
      <c r="F8" s="111" t="str">
        <f>IFERROR(EBITDA_2025/'Eficiência operacional'!F21,"")</f>
        <v/>
      </c>
      <c r="G8" s="111" t="str">
        <f>IFERROR(EBITDA_2026/'Eficiência operacional'!G21,"")</f>
        <v/>
      </c>
      <c r="H8" s="111" t="str">
        <f>IFERROR(EBITDA_2027/'Eficiência operacional'!H21,"")</f>
        <v/>
      </c>
    </row>
    <row r="9" spans="1:8" ht="31.5" customHeight="1" x14ac:dyDescent="0.3">
      <c r="A9" s="36"/>
      <c r="B9" s="41" t="s">
        <v>137</v>
      </c>
      <c r="C9" s="41" t="s">
        <v>306</v>
      </c>
      <c r="D9" s="111"/>
      <c r="E9" s="111" t="str">
        <f>IFERROR(RO_2024/AVERAGE(Ativo_2024,Ativo_2023),"")</f>
        <v/>
      </c>
      <c r="F9" s="111" t="str">
        <f>IFERROR(RO_2025/AVERAGE(Ativo_2025,Ativo_2024),"")</f>
        <v/>
      </c>
      <c r="G9" s="111" t="str">
        <f>IFERROR(RO_2026/AVERAGE(Ativo_2026,Ativo_2025),"")</f>
        <v/>
      </c>
      <c r="H9" s="111" t="str">
        <f>IFERROR(RO_2027/AVERAGE(Ativo_2027,Ativo_2026),"")</f>
        <v/>
      </c>
    </row>
    <row r="10" spans="1:8" ht="31.5" customHeight="1" x14ac:dyDescent="0.3">
      <c r="A10" s="36"/>
      <c r="B10" s="41" t="s">
        <v>138</v>
      </c>
      <c r="C10" s="41" t="s">
        <v>305</v>
      </c>
      <c r="D10" s="111"/>
      <c r="E10" s="111" t="str">
        <f>IFERROR(RL_2024/AVERAGE(Patrimonio_Liquido_2024,Patrimonio_Liquido_2023),"")</f>
        <v/>
      </c>
      <c r="F10" s="111" t="str">
        <f>IFERROR(RL_2025/AVERAGE(Patrimonio_Liquido_2025,Patrimonio_Liquido_2024),"")</f>
        <v/>
      </c>
      <c r="G10" s="111" t="str">
        <f>IFERROR(RL_2026/AVERAGE(Patrimonio_Liquido_2026,Patrimonio_Liquido_2025),"")</f>
        <v/>
      </c>
      <c r="H10" s="111" t="str">
        <f>IFERROR(RL_2027/AVERAGE(Patrimonio_Liquido_2027,Patrimonio_Liquido_2026),"")</f>
        <v/>
      </c>
    </row>
    <row r="11" spans="1:8" ht="31.5" customHeight="1" x14ac:dyDescent="0.3">
      <c r="A11" s="36"/>
      <c r="B11" s="41" t="s">
        <v>299</v>
      </c>
      <c r="C11" s="41" t="s">
        <v>135</v>
      </c>
      <c r="D11" s="111" t="str">
        <f>IFERROR(Passivo_2023/Ativo_2023,"")</f>
        <v/>
      </c>
      <c r="E11" s="111" t="str">
        <f>IFERROR(Passivo_2024/Ativo_2024,"")</f>
        <v/>
      </c>
      <c r="F11" s="111" t="str">
        <f>IFERROR(Passivo_2025/Ativo_2025,"")</f>
        <v/>
      </c>
      <c r="G11" s="111" t="str">
        <f>IFERROR(Passivo_2026/Ativo_2026,"")</f>
        <v/>
      </c>
      <c r="H11" s="111" t="str">
        <f>IFERROR(Passivo_2027/Ativo_2027,"")</f>
        <v/>
      </c>
    </row>
    <row r="12" spans="1:8" ht="31.5" customHeight="1" x14ac:dyDescent="0.3">
      <c r="A12" s="36"/>
      <c r="B12" s="41" t="s">
        <v>139</v>
      </c>
      <c r="C12" s="41" t="s">
        <v>142</v>
      </c>
      <c r="D12" s="111" t="str">
        <f>IFERROR(Passivo_Corrente_2023/Ativo_2023,"")</f>
        <v/>
      </c>
      <c r="E12" s="111" t="str">
        <f>IFERROR(Passivo_Corrente_2024/Ativo_2024,"")</f>
        <v/>
      </c>
      <c r="F12" s="111" t="str">
        <f>IFERROR(Passivo_Corrente_2025/Ativo_2025,"")</f>
        <v/>
      </c>
      <c r="G12" s="111" t="str">
        <f>IFERROR(Passivo_Corrente_2026/Ativo_2026,"")</f>
        <v/>
      </c>
      <c r="H12" s="111" t="str">
        <f>IFERROR(Passivo_Corrente_2027/Ativo_2027,"")</f>
        <v/>
      </c>
    </row>
    <row r="13" spans="1:8" ht="31.5" customHeight="1" x14ac:dyDescent="0.3">
      <c r="A13" s="36"/>
      <c r="B13" s="41" t="s">
        <v>140</v>
      </c>
      <c r="C13" s="41" t="s">
        <v>143</v>
      </c>
      <c r="D13" s="111" t="str">
        <f>IFERROR(Patrimonio_Liquido_2023/Ativo_2023,"")</f>
        <v/>
      </c>
      <c r="E13" s="111" t="str">
        <f>IFERROR(Patrimonio_Liquido_2024/Ativo_2024,"")</f>
        <v/>
      </c>
      <c r="F13" s="111" t="str">
        <f>IFERROR(Patrimonio_Liquido_2025/Ativo_2025,"")</f>
        <v/>
      </c>
      <c r="G13" s="111" t="str">
        <f>IFERROR(Patrimonio_Liquido_2026/Ativo_2026,"")</f>
        <v/>
      </c>
      <c r="H13" s="111" t="str">
        <f>IFERROR(Patrimonio_Liquido_2027/Ativo_2027,"")</f>
        <v/>
      </c>
    </row>
    <row r="14" spans="1:8" ht="31.5" customHeight="1" x14ac:dyDescent="0.3">
      <c r="A14" s="36"/>
      <c r="B14" s="41" t="s">
        <v>141</v>
      </c>
      <c r="C14" s="41" t="s">
        <v>144</v>
      </c>
      <c r="D14" s="111" t="str">
        <f>IFERROR(Ativo_Corrente_2023/Passivo_Corrente_2023,"")</f>
        <v/>
      </c>
      <c r="E14" s="111" t="str">
        <f>IFERROR(Ativo_Corrente_2024/Passivo_Corrente_2024,"")</f>
        <v/>
      </c>
      <c r="F14" s="111" t="str">
        <f>IFERROR(Ativo_Corrente_2025/Passivo_Corrente_2025,"")</f>
        <v/>
      </c>
      <c r="G14" s="111" t="str">
        <f>IFERROR(Ativo_Corrente_2026/Passivo_Corrente_2026,"")</f>
        <v/>
      </c>
      <c r="H14" s="111" t="str">
        <f>IFERROR(Ativo_Corrente_2027/Passivo_Corrente_2027,"")</f>
        <v/>
      </c>
    </row>
    <row r="15" spans="1:8" ht="31.5" customHeight="1" x14ac:dyDescent="0.3">
      <c r="A15" s="36"/>
      <c r="B15" s="41" t="s">
        <v>279</v>
      </c>
      <c r="C15" s="41" t="s">
        <v>282</v>
      </c>
      <c r="D15" s="275" t="str">
        <f>IFERROR(RO_2023/'Mapa RH'!C17,"")</f>
        <v/>
      </c>
      <c r="E15" s="275" t="str">
        <f>IFERROR(RO_2024/'Mapa RH'!D17,"")</f>
        <v/>
      </c>
      <c r="F15" s="275" t="str">
        <f>IFERROR(RO_2025/'Mapa RH'!N17,"")</f>
        <v/>
      </c>
      <c r="G15" s="275" t="str">
        <f>IFERROR(RO_2026/'Mapa RH'!T17,"")</f>
        <v/>
      </c>
      <c r="H15" s="275" t="str">
        <f>IFERROR(RO_2027/'Mapa RH'!Z17,"")</f>
        <v/>
      </c>
    </row>
    <row r="16" spans="1:8" x14ac:dyDescent="0.3">
      <c r="B16" s="39"/>
      <c r="C16" s="39"/>
      <c r="D16" s="39"/>
      <c r="E16" s="39"/>
      <c r="F16" s="39"/>
      <c r="G16" s="39"/>
      <c r="H16" s="39"/>
    </row>
    <row r="17" spans="2:8" hidden="1" x14ac:dyDescent="0.3">
      <c r="B17" s="39"/>
      <c r="C17" s="39"/>
      <c r="D17" s="39"/>
      <c r="E17" s="39"/>
      <c r="F17" s="39"/>
      <c r="G17" s="39"/>
      <c r="H17" s="39"/>
    </row>
    <row r="18" spans="2:8" hidden="1" x14ac:dyDescent="0.3">
      <c r="B18" s="39"/>
      <c r="C18" s="39"/>
      <c r="D18" s="39"/>
      <c r="E18" s="39"/>
      <c r="F18" s="39"/>
      <c r="G18" s="39"/>
      <c r="H18" s="39"/>
    </row>
    <row r="19" spans="2:8" hidden="1" x14ac:dyDescent="0.3">
      <c r="B19" s="39"/>
      <c r="C19" s="39"/>
      <c r="D19" s="39"/>
      <c r="E19" s="39"/>
      <c r="F19" s="39"/>
      <c r="G19" s="39"/>
      <c r="H19" s="39"/>
    </row>
    <row r="20" spans="2:8" hidden="1" x14ac:dyDescent="0.3"/>
    <row r="21" spans="2:8" hidden="1" x14ac:dyDescent="0.3"/>
    <row r="22" spans="2:8" hidden="1" x14ac:dyDescent="0.3"/>
    <row r="23" spans="2:8" hidden="1" x14ac:dyDescent="0.3"/>
    <row r="24" spans="2:8" hidden="1" x14ac:dyDescent="0.3"/>
    <row r="25" spans="2:8" hidden="1" x14ac:dyDescent="0.3"/>
    <row r="26" spans="2:8" hidden="1" x14ac:dyDescent="0.3"/>
  </sheetData>
  <sheetProtection sheet="1" selectLockedCells="1"/>
  <mergeCells count="2">
    <mergeCell ref="C5:C6"/>
    <mergeCell ref="B5:B6"/>
  </mergeCells>
  <dataValidations count="1">
    <dataValidation type="custom" allowBlank="1" showInputMessage="1" showErrorMessage="1" errorTitle="Erro" error="Não introduzir dados nesta célula" sqref="G4:H4" xr:uid="{00000000-0002-0000-0C00-000000000000}">
      <formula1>"&lt;&gt;"""""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>
    <pageSetUpPr fitToPage="1"/>
  </sheetPr>
  <dimension ref="A1:WVS107"/>
  <sheetViews>
    <sheetView showGridLines="0" zoomScaleNormal="100" workbookViewId="0">
      <selection activeCell="A4" sqref="A4"/>
    </sheetView>
  </sheetViews>
  <sheetFormatPr defaultColWidth="0" defaultRowHeight="12.6" zeroHeight="1" x14ac:dyDescent="0.2"/>
  <cols>
    <col min="1" max="1" width="4.109375" style="5" customWidth="1"/>
    <col min="2" max="2" width="34.6640625" style="5" customWidth="1"/>
    <col min="3" max="3" width="33" style="5" customWidth="1"/>
    <col min="4" max="4" width="13.6640625" style="5" customWidth="1"/>
    <col min="5" max="8" width="13.5546875" style="5" customWidth="1"/>
    <col min="9" max="9" width="2.109375" style="5" customWidth="1"/>
    <col min="10" max="10" width="6.33203125" style="5" customWidth="1"/>
    <col min="11" max="254" width="12.33203125" style="5" hidden="1"/>
    <col min="255" max="255" width="2.33203125" style="5" hidden="1"/>
    <col min="256" max="256" width="40.109375" style="5" hidden="1"/>
    <col min="257" max="266" width="13.5546875" style="5" hidden="1"/>
    <col min="267" max="510" width="12.33203125" style="5" hidden="1"/>
    <col min="511" max="511" width="2.33203125" style="5" hidden="1"/>
    <col min="512" max="512" width="40.109375" style="5" hidden="1"/>
    <col min="513" max="522" width="13.5546875" style="5" hidden="1"/>
    <col min="523" max="766" width="12.33203125" style="5" hidden="1"/>
    <col min="767" max="767" width="2.33203125" style="5" hidden="1"/>
    <col min="768" max="768" width="40.109375" style="5" hidden="1"/>
    <col min="769" max="778" width="13.5546875" style="5" hidden="1"/>
    <col min="779" max="1022" width="12.33203125" style="5" hidden="1"/>
    <col min="1023" max="1023" width="2.33203125" style="5" hidden="1"/>
    <col min="1024" max="1024" width="40.109375" style="5" hidden="1"/>
    <col min="1025" max="1034" width="13.5546875" style="5" hidden="1"/>
    <col min="1035" max="1278" width="12.33203125" style="5" hidden="1"/>
    <col min="1279" max="1279" width="2.33203125" style="5" hidden="1"/>
    <col min="1280" max="1280" width="40.109375" style="5" hidden="1"/>
    <col min="1281" max="1290" width="13.5546875" style="5" hidden="1"/>
    <col min="1291" max="1534" width="12.33203125" style="5" hidden="1"/>
    <col min="1535" max="1535" width="2.33203125" style="5" hidden="1"/>
    <col min="1536" max="1536" width="40.109375" style="5" hidden="1"/>
    <col min="1537" max="1546" width="13.5546875" style="5" hidden="1"/>
    <col min="1547" max="1790" width="12.33203125" style="5" hidden="1"/>
    <col min="1791" max="1791" width="2.33203125" style="5" hidden="1"/>
    <col min="1792" max="1792" width="40.109375" style="5" hidden="1"/>
    <col min="1793" max="1802" width="13.5546875" style="5" hidden="1"/>
    <col min="1803" max="2046" width="12.33203125" style="5" hidden="1"/>
    <col min="2047" max="2047" width="2.33203125" style="5" hidden="1"/>
    <col min="2048" max="2048" width="40.109375" style="5" hidden="1"/>
    <col min="2049" max="2058" width="13.5546875" style="5" hidden="1"/>
    <col min="2059" max="2302" width="12.33203125" style="5" hidden="1"/>
    <col min="2303" max="2303" width="2.33203125" style="5" hidden="1"/>
    <col min="2304" max="2304" width="40.109375" style="5" hidden="1"/>
    <col min="2305" max="2314" width="13.5546875" style="5" hidden="1"/>
    <col min="2315" max="2558" width="12.33203125" style="5" hidden="1"/>
    <col min="2559" max="2559" width="2.33203125" style="5" hidden="1"/>
    <col min="2560" max="2560" width="40.109375" style="5" hidden="1"/>
    <col min="2561" max="2570" width="13.5546875" style="5" hidden="1"/>
    <col min="2571" max="2814" width="12.33203125" style="5" hidden="1"/>
    <col min="2815" max="2815" width="2.33203125" style="5" hidden="1"/>
    <col min="2816" max="2816" width="40.109375" style="5" hidden="1"/>
    <col min="2817" max="2826" width="13.5546875" style="5" hidden="1"/>
    <col min="2827" max="3070" width="12.33203125" style="5" hidden="1"/>
    <col min="3071" max="3071" width="2.33203125" style="5" hidden="1"/>
    <col min="3072" max="3072" width="40.109375" style="5" hidden="1"/>
    <col min="3073" max="3082" width="13.5546875" style="5" hidden="1"/>
    <col min="3083" max="3326" width="12.33203125" style="5" hidden="1"/>
    <col min="3327" max="3327" width="2.33203125" style="5" hidden="1"/>
    <col min="3328" max="3328" width="40.109375" style="5" hidden="1"/>
    <col min="3329" max="3338" width="13.5546875" style="5" hidden="1"/>
    <col min="3339" max="3582" width="12.33203125" style="5" hidden="1"/>
    <col min="3583" max="3583" width="2.33203125" style="5" hidden="1"/>
    <col min="3584" max="3584" width="40.109375" style="5" hidden="1"/>
    <col min="3585" max="3594" width="13.5546875" style="5" hidden="1"/>
    <col min="3595" max="3838" width="12.33203125" style="5" hidden="1"/>
    <col min="3839" max="3839" width="2.33203125" style="5" hidden="1"/>
    <col min="3840" max="3840" width="40.109375" style="5" hidden="1"/>
    <col min="3841" max="3850" width="13.5546875" style="5" hidden="1"/>
    <col min="3851" max="4094" width="12.33203125" style="5" hidden="1"/>
    <col min="4095" max="4095" width="2.33203125" style="5" hidden="1"/>
    <col min="4096" max="4096" width="40.109375" style="5" hidden="1"/>
    <col min="4097" max="4106" width="13.5546875" style="5" hidden="1"/>
    <col min="4107" max="4350" width="12.33203125" style="5" hidden="1"/>
    <col min="4351" max="4351" width="2.33203125" style="5" hidden="1"/>
    <col min="4352" max="4352" width="40.109375" style="5" hidden="1"/>
    <col min="4353" max="4362" width="13.5546875" style="5" hidden="1"/>
    <col min="4363" max="4606" width="12.33203125" style="5" hidden="1"/>
    <col min="4607" max="4607" width="2.33203125" style="5" hidden="1"/>
    <col min="4608" max="4608" width="40.109375" style="5" hidden="1"/>
    <col min="4609" max="4618" width="13.5546875" style="5" hidden="1"/>
    <col min="4619" max="4862" width="12.33203125" style="5" hidden="1"/>
    <col min="4863" max="4863" width="2.33203125" style="5" hidden="1"/>
    <col min="4864" max="4864" width="40.109375" style="5" hidden="1"/>
    <col min="4865" max="4874" width="13.5546875" style="5" hidden="1"/>
    <col min="4875" max="5118" width="12.33203125" style="5" hidden="1"/>
    <col min="5119" max="5119" width="2.33203125" style="5" hidden="1"/>
    <col min="5120" max="5120" width="40.109375" style="5" hidden="1"/>
    <col min="5121" max="5130" width="13.5546875" style="5" hidden="1"/>
    <col min="5131" max="5374" width="12.33203125" style="5" hidden="1"/>
    <col min="5375" max="5375" width="2.33203125" style="5" hidden="1"/>
    <col min="5376" max="5376" width="40.109375" style="5" hidden="1"/>
    <col min="5377" max="5386" width="13.5546875" style="5" hidden="1"/>
    <col min="5387" max="5630" width="12.33203125" style="5" hidden="1"/>
    <col min="5631" max="5631" width="2.33203125" style="5" hidden="1"/>
    <col min="5632" max="5632" width="40.109375" style="5" hidden="1"/>
    <col min="5633" max="5642" width="13.5546875" style="5" hidden="1"/>
    <col min="5643" max="5886" width="12.33203125" style="5" hidden="1"/>
    <col min="5887" max="5887" width="2.33203125" style="5" hidden="1"/>
    <col min="5888" max="5888" width="40.109375" style="5" hidden="1"/>
    <col min="5889" max="5898" width="13.5546875" style="5" hidden="1"/>
    <col min="5899" max="6142" width="12.33203125" style="5" hidden="1"/>
    <col min="6143" max="6143" width="2.33203125" style="5" hidden="1"/>
    <col min="6144" max="6144" width="40.109375" style="5" hidden="1"/>
    <col min="6145" max="6154" width="13.5546875" style="5" hidden="1"/>
    <col min="6155" max="6398" width="12.33203125" style="5" hidden="1"/>
    <col min="6399" max="6399" width="2.33203125" style="5" hidden="1"/>
    <col min="6400" max="6400" width="40.109375" style="5" hidden="1"/>
    <col min="6401" max="6410" width="13.5546875" style="5" hidden="1"/>
    <col min="6411" max="6654" width="12.33203125" style="5" hidden="1"/>
    <col min="6655" max="6655" width="2.33203125" style="5" hidden="1"/>
    <col min="6656" max="6656" width="40.109375" style="5" hidden="1"/>
    <col min="6657" max="6666" width="13.5546875" style="5" hidden="1"/>
    <col min="6667" max="6910" width="12.33203125" style="5" hidden="1"/>
    <col min="6911" max="6911" width="2.33203125" style="5" hidden="1"/>
    <col min="6912" max="6912" width="40.109375" style="5" hidden="1"/>
    <col min="6913" max="6922" width="13.5546875" style="5" hidden="1"/>
    <col min="6923" max="7166" width="12.33203125" style="5" hidden="1"/>
    <col min="7167" max="7167" width="2.33203125" style="5" hidden="1"/>
    <col min="7168" max="7168" width="40.109375" style="5" hidden="1"/>
    <col min="7169" max="7178" width="13.5546875" style="5" hidden="1"/>
    <col min="7179" max="7422" width="12.33203125" style="5" hidden="1"/>
    <col min="7423" max="7423" width="2.33203125" style="5" hidden="1"/>
    <col min="7424" max="7424" width="40.109375" style="5" hidden="1"/>
    <col min="7425" max="7434" width="13.5546875" style="5" hidden="1"/>
    <col min="7435" max="7678" width="12.33203125" style="5" hidden="1"/>
    <col min="7679" max="7679" width="2.33203125" style="5" hidden="1"/>
    <col min="7680" max="7680" width="40.109375" style="5" hidden="1"/>
    <col min="7681" max="7690" width="13.5546875" style="5" hidden="1"/>
    <col min="7691" max="7934" width="12.33203125" style="5" hidden="1"/>
    <col min="7935" max="7935" width="2.33203125" style="5" hidden="1"/>
    <col min="7936" max="7936" width="40.109375" style="5" hidden="1"/>
    <col min="7937" max="7946" width="13.5546875" style="5" hidden="1"/>
    <col min="7947" max="8190" width="12.33203125" style="5" hidden="1"/>
    <col min="8191" max="8191" width="2.33203125" style="5" hidden="1"/>
    <col min="8192" max="8192" width="40.109375" style="5" hidden="1"/>
    <col min="8193" max="8202" width="13.5546875" style="5" hidden="1"/>
    <col min="8203" max="8446" width="12.33203125" style="5" hidden="1"/>
    <col min="8447" max="8447" width="2.33203125" style="5" hidden="1"/>
    <col min="8448" max="8448" width="40.109375" style="5" hidden="1"/>
    <col min="8449" max="8458" width="13.5546875" style="5" hidden="1"/>
    <col min="8459" max="8702" width="12.33203125" style="5" hidden="1"/>
    <col min="8703" max="8703" width="2.33203125" style="5" hidden="1"/>
    <col min="8704" max="8704" width="40.109375" style="5" hidden="1"/>
    <col min="8705" max="8714" width="13.5546875" style="5" hidden="1"/>
    <col min="8715" max="8958" width="12.33203125" style="5" hidden="1"/>
    <col min="8959" max="8959" width="2.33203125" style="5" hidden="1"/>
    <col min="8960" max="8960" width="40.109375" style="5" hidden="1"/>
    <col min="8961" max="8970" width="13.5546875" style="5" hidden="1"/>
    <col min="8971" max="9214" width="12.33203125" style="5" hidden="1"/>
    <col min="9215" max="9215" width="2.33203125" style="5" hidden="1"/>
    <col min="9216" max="9216" width="40.109375" style="5" hidden="1"/>
    <col min="9217" max="9226" width="13.5546875" style="5" hidden="1"/>
    <col min="9227" max="9470" width="12.33203125" style="5" hidden="1"/>
    <col min="9471" max="9471" width="2.33203125" style="5" hidden="1"/>
    <col min="9472" max="9472" width="40.109375" style="5" hidden="1"/>
    <col min="9473" max="9482" width="13.5546875" style="5" hidden="1"/>
    <col min="9483" max="9726" width="12.33203125" style="5" hidden="1"/>
    <col min="9727" max="9727" width="2.33203125" style="5" hidden="1"/>
    <col min="9728" max="9728" width="40.109375" style="5" hidden="1"/>
    <col min="9729" max="9738" width="13.5546875" style="5" hidden="1"/>
    <col min="9739" max="9982" width="12.33203125" style="5" hidden="1"/>
    <col min="9983" max="9983" width="2.33203125" style="5" hidden="1"/>
    <col min="9984" max="9984" width="40.109375" style="5" hidden="1"/>
    <col min="9985" max="9994" width="13.5546875" style="5" hidden="1"/>
    <col min="9995" max="10238" width="12.33203125" style="5" hidden="1"/>
    <col min="10239" max="10239" width="2.33203125" style="5" hidden="1"/>
    <col min="10240" max="10240" width="40.109375" style="5" hidden="1"/>
    <col min="10241" max="10250" width="13.5546875" style="5" hidden="1"/>
    <col min="10251" max="10494" width="12.33203125" style="5" hidden="1"/>
    <col min="10495" max="10495" width="2.33203125" style="5" hidden="1"/>
    <col min="10496" max="10496" width="40.109375" style="5" hidden="1"/>
    <col min="10497" max="10506" width="13.5546875" style="5" hidden="1"/>
    <col min="10507" max="10750" width="12.33203125" style="5" hidden="1"/>
    <col min="10751" max="10751" width="2.33203125" style="5" hidden="1"/>
    <col min="10752" max="10752" width="40.109375" style="5" hidden="1"/>
    <col min="10753" max="10762" width="13.5546875" style="5" hidden="1"/>
    <col min="10763" max="11006" width="12.33203125" style="5" hidden="1"/>
    <col min="11007" max="11007" width="2.33203125" style="5" hidden="1"/>
    <col min="11008" max="11008" width="40.109375" style="5" hidden="1"/>
    <col min="11009" max="11018" width="13.5546875" style="5" hidden="1"/>
    <col min="11019" max="11262" width="12.33203125" style="5" hidden="1"/>
    <col min="11263" max="11263" width="2.33203125" style="5" hidden="1"/>
    <col min="11264" max="11264" width="40.109375" style="5" hidden="1"/>
    <col min="11265" max="11274" width="13.5546875" style="5" hidden="1"/>
    <col min="11275" max="11518" width="12.33203125" style="5" hidden="1"/>
    <col min="11519" max="11519" width="2.33203125" style="5" hidden="1"/>
    <col min="11520" max="11520" width="40.109375" style="5" hidden="1"/>
    <col min="11521" max="11530" width="13.5546875" style="5" hidden="1"/>
    <col min="11531" max="11774" width="12.33203125" style="5" hidden="1"/>
    <col min="11775" max="11775" width="2.33203125" style="5" hidden="1"/>
    <col min="11776" max="11776" width="40.109375" style="5" hidden="1"/>
    <col min="11777" max="11786" width="13.5546875" style="5" hidden="1"/>
    <col min="11787" max="12030" width="12.33203125" style="5" hidden="1"/>
    <col min="12031" max="12031" width="2.33203125" style="5" hidden="1"/>
    <col min="12032" max="12032" width="40.109375" style="5" hidden="1"/>
    <col min="12033" max="12042" width="13.5546875" style="5" hidden="1"/>
    <col min="12043" max="12286" width="12.33203125" style="5" hidden="1"/>
    <col min="12287" max="12287" width="2.33203125" style="5" hidden="1"/>
    <col min="12288" max="12288" width="40.109375" style="5" hidden="1"/>
    <col min="12289" max="12298" width="13.5546875" style="5" hidden="1"/>
    <col min="12299" max="12542" width="12.33203125" style="5" hidden="1"/>
    <col min="12543" max="12543" width="2.33203125" style="5" hidden="1"/>
    <col min="12544" max="12544" width="40.109375" style="5" hidden="1"/>
    <col min="12545" max="12554" width="13.5546875" style="5" hidden="1"/>
    <col min="12555" max="12798" width="12.33203125" style="5" hidden="1"/>
    <col min="12799" max="12799" width="2.33203125" style="5" hidden="1"/>
    <col min="12800" max="12800" width="40.109375" style="5" hidden="1"/>
    <col min="12801" max="12810" width="13.5546875" style="5" hidden="1"/>
    <col min="12811" max="13054" width="12.33203125" style="5" hidden="1"/>
    <col min="13055" max="13055" width="2.33203125" style="5" hidden="1"/>
    <col min="13056" max="13056" width="40.109375" style="5" hidden="1"/>
    <col min="13057" max="13066" width="13.5546875" style="5" hidden="1"/>
    <col min="13067" max="13310" width="12.33203125" style="5" hidden="1"/>
    <col min="13311" max="13311" width="2.33203125" style="5" hidden="1"/>
    <col min="13312" max="13312" width="40.109375" style="5" hidden="1"/>
    <col min="13313" max="13322" width="13.5546875" style="5" hidden="1"/>
    <col min="13323" max="13566" width="12.33203125" style="5" hidden="1"/>
    <col min="13567" max="13567" width="2.33203125" style="5" hidden="1"/>
    <col min="13568" max="13568" width="40.109375" style="5" hidden="1"/>
    <col min="13569" max="13578" width="13.5546875" style="5" hidden="1"/>
    <col min="13579" max="13822" width="12.33203125" style="5" hidden="1"/>
    <col min="13823" max="13823" width="2.33203125" style="5" hidden="1"/>
    <col min="13824" max="13824" width="40.109375" style="5" hidden="1"/>
    <col min="13825" max="13834" width="13.5546875" style="5" hidden="1"/>
    <col min="13835" max="14078" width="12.33203125" style="5" hidden="1"/>
    <col min="14079" max="14079" width="2.33203125" style="5" hidden="1"/>
    <col min="14080" max="14080" width="40.109375" style="5" hidden="1"/>
    <col min="14081" max="14090" width="13.5546875" style="5" hidden="1"/>
    <col min="14091" max="14334" width="12.33203125" style="5" hidden="1"/>
    <col min="14335" max="14335" width="2.33203125" style="5" hidden="1"/>
    <col min="14336" max="14336" width="40.109375" style="5" hidden="1"/>
    <col min="14337" max="14346" width="13.5546875" style="5" hidden="1"/>
    <col min="14347" max="14590" width="12.33203125" style="5" hidden="1"/>
    <col min="14591" max="14591" width="2.33203125" style="5" hidden="1"/>
    <col min="14592" max="14592" width="40.109375" style="5" hidden="1"/>
    <col min="14593" max="14602" width="13.5546875" style="5" hidden="1"/>
    <col min="14603" max="14846" width="12.33203125" style="5" hidden="1"/>
    <col min="14847" max="14847" width="2.33203125" style="5" hidden="1"/>
    <col min="14848" max="14848" width="40.109375" style="5" hidden="1"/>
    <col min="14849" max="14858" width="13.5546875" style="5" hidden="1"/>
    <col min="14859" max="15102" width="12.33203125" style="5" hidden="1"/>
    <col min="15103" max="15103" width="2.33203125" style="5" hidden="1"/>
    <col min="15104" max="15104" width="40.109375" style="5" hidden="1"/>
    <col min="15105" max="15114" width="13.5546875" style="5" hidden="1"/>
    <col min="15115" max="15358" width="12.33203125" style="5" hidden="1"/>
    <col min="15359" max="15359" width="2.33203125" style="5" hidden="1"/>
    <col min="15360" max="15360" width="40.109375" style="5" hidden="1"/>
    <col min="15361" max="15370" width="13.5546875" style="5" hidden="1"/>
    <col min="15371" max="15614" width="12.33203125" style="5" hidden="1"/>
    <col min="15615" max="15615" width="2.33203125" style="5" hidden="1"/>
    <col min="15616" max="15616" width="40.109375" style="5" hidden="1"/>
    <col min="15617" max="15626" width="13.5546875" style="5" hidden="1"/>
    <col min="15627" max="15870" width="12.33203125" style="5" hidden="1"/>
    <col min="15871" max="15871" width="2.33203125" style="5" hidden="1"/>
    <col min="15872" max="15872" width="40.109375" style="5" hidden="1"/>
    <col min="15873" max="15882" width="13.5546875" style="5" hidden="1"/>
    <col min="15883" max="16126" width="12.33203125" style="5" hidden="1"/>
    <col min="16127" max="16127" width="2.33203125" style="5" hidden="1"/>
    <col min="16128" max="16128" width="40.109375" style="5" hidden="1"/>
    <col min="16129" max="16139" width="13.5546875" style="5" hidden="1"/>
    <col min="16140" max="16384" width="12.33203125" style="5" hidden="1"/>
  </cols>
  <sheetData>
    <row r="1" spans="1:10" x14ac:dyDescent="0.2"/>
    <row r="2" spans="1:10" x14ac:dyDescent="0.2"/>
    <row r="3" spans="1:10" x14ac:dyDescent="0.2"/>
    <row r="4" spans="1:10" s="6" customFormat="1" ht="14.4" customHeight="1" x14ac:dyDescent="0.2">
      <c r="A4" s="145"/>
      <c r="B4" s="146"/>
      <c r="C4" s="146"/>
      <c r="D4" s="146"/>
      <c r="E4" s="146"/>
      <c r="F4" s="146"/>
      <c r="G4" s="146"/>
      <c r="H4" s="146"/>
      <c r="I4" s="146"/>
      <c r="J4" s="146"/>
    </row>
    <row r="5" spans="1:10" s="6" customFormat="1" ht="22.5" customHeight="1" x14ac:dyDescent="0.2">
      <c r="B5" s="437" t="s">
        <v>25</v>
      </c>
      <c r="C5" s="438"/>
      <c r="D5" s="438"/>
      <c r="E5" s="438"/>
      <c r="F5" s="438"/>
      <c r="G5" s="438"/>
      <c r="H5" s="438"/>
      <c r="I5" s="439"/>
      <c r="J5" s="7"/>
    </row>
    <row r="6" spans="1:10" s="6" customFormat="1" ht="3.75" customHeight="1" x14ac:dyDescent="0.2">
      <c r="B6" s="126"/>
      <c r="C6" s="42"/>
      <c r="D6" s="42"/>
      <c r="E6" s="42"/>
      <c r="F6" s="42"/>
      <c r="G6" s="42"/>
      <c r="H6" s="42"/>
      <c r="I6" s="127"/>
      <c r="J6" s="7"/>
    </row>
    <row r="7" spans="1:10" s="6" customFormat="1" ht="30" customHeight="1" x14ac:dyDescent="0.2">
      <c r="B7" s="313" t="s">
        <v>318</v>
      </c>
      <c r="C7" s="446"/>
      <c r="D7" s="446"/>
      <c r="E7" s="446"/>
      <c r="F7" s="446"/>
      <c r="G7" s="446"/>
      <c r="H7" s="446"/>
      <c r="I7" s="129"/>
      <c r="J7" s="8"/>
    </row>
    <row r="8" spans="1:10" s="6" customFormat="1" ht="12" customHeight="1" x14ac:dyDescent="0.2">
      <c r="B8" s="130"/>
      <c r="F8" s="131"/>
      <c r="G8" s="131"/>
      <c r="H8" s="131"/>
      <c r="I8" s="129"/>
      <c r="J8" s="8"/>
    </row>
    <row r="9" spans="1:10" s="6" customFormat="1" ht="3" customHeight="1" x14ac:dyDescent="0.2">
      <c r="B9" s="130"/>
      <c r="C9" s="131"/>
      <c r="D9" s="131"/>
      <c r="E9" s="131"/>
      <c r="F9" s="131"/>
      <c r="G9" s="131"/>
      <c r="H9" s="131"/>
      <c r="I9" s="129"/>
      <c r="J9" s="8"/>
    </row>
    <row r="10" spans="1:10" s="6" customFormat="1" ht="12" customHeight="1" x14ac:dyDescent="0.2">
      <c r="B10" s="130" t="s">
        <v>145</v>
      </c>
      <c r="C10" s="132">
        <v>2024</v>
      </c>
      <c r="D10" s="132"/>
      <c r="E10" s="131"/>
      <c r="F10" s="131"/>
      <c r="G10" s="131"/>
      <c r="H10" s="131"/>
      <c r="I10" s="129"/>
      <c r="J10" s="8"/>
    </row>
    <row r="11" spans="1:10" s="6" customFormat="1" ht="3" customHeight="1" x14ac:dyDescent="0.2">
      <c r="B11" s="130"/>
      <c r="C11" s="133"/>
      <c r="D11" s="133"/>
      <c r="E11" s="131"/>
      <c r="F11" s="131"/>
      <c r="G11" s="131"/>
      <c r="H11" s="131"/>
      <c r="I11" s="129"/>
      <c r="J11" s="8"/>
    </row>
    <row r="12" spans="1:10" s="6" customFormat="1" ht="12" customHeight="1" x14ac:dyDescent="0.2">
      <c r="B12" s="130" t="s">
        <v>26</v>
      </c>
      <c r="C12" s="132" t="str">
        <f>IF(C10="","",C10+1&amp;"-"&amp;C10+3)</f>
        <v>2025-2027</v>
      </c>
      <c r="D12" s="132"/>
      <c r="E12" s="131"/>
      <c r="F12" s="131"/>
      <c r="G12" s="131"/>
      <c r="H12" s="131"/>
      <c r="I12" s="129"/>
      <c r="J12" s="8"/>
    </row>
    <row r="13" spans="1:10" s="6" customFormat="1" ht="11.25" customHeight="1" x14ac:dyDescent="0.2">
      <c r="B13" s="130"/>
      <c r="C13" s="131"/>
      <c r="D13" s="131"/>
      <c r="E13" s="131"/>
      <c r="F13" s="131"/>
      <c r="G13" s="131"/>
      <c r="H13" s="131"/>
      <c r="I13" s="129"/>
      <c r="J13" s="8"/>
    </row>
    <row r="14" spans="1:10" s="6" customFormat="1" ht="30" customHeight="1" x14ac:dyDescent="0.2">
      <c r="B14" s="128" t="s">
        <v>173</v>
      </c>
      <c r="E14" s="131"/>
      <c r="F14" s="131"/>
      <c r="G14" s="131"/>
      <c r="H14" s="131"/>
      <c r="I14" s="134"/>
      <c r="J14" s="8"/>
    </row>
    <row r="15" spans="1:10" s="6" customFormat="1" ht="18" customHeight="1" x14ac:dyDescent="0.2">
      <c r="B15" s="135"/>
      <c r="C15" s="112" t="s">
        <v>118</v>
      </c>
      <c r="D15" s="122">
        <v>2023</v>
      </c>
      <c r="E15" s="122">
        <f>IF(OR(Instruções!$C$10="",Instruções!$C$10=0),"",IF(ISERROR(Instruções!$C$10),"",Instruções!$C$10))</f>
        <v>2024</v>
      </c>
      <c r="F15" s="122">
        <f>IF(OR(Instruções!$C$10="",Instruções!$C$10=0),"",IF(ISERROR(Instruções!$C$10),"",Instruções!$C$10+1))</f>
        <v>2025</v>
      </c>
      <c r="G15" s="122">
        <f>IF(OR(Instruções!$C$10="",Instruções!$C$10=0),"",IF(ISERROR(Instruções!$C$10),"",Instruções!$C$10+2))</f>
        <v>2026</v>
      </c>
      <c r="H15" s="123">
        <f>IF(OR(Instruções!$C$10="",Instruções!$C$10=0),"",IF(ISERROR(Instruções!$C$10),"",Instruções!$C$10+3))</f>
        <v>2027</v>
      </c>
      <c r="I15" s="134"/>
      <c r="J15" s="8"/>
    </row>
    <row r="16" spans="1:10" s="6" customFormat="1" ht="18.75" customHeight="1" x14ac:dyDescent="0.2">
      <c r="B16" s="135"/>
      <c r="C16" s="113" t="s">
        <v>207</v>
      </c>
      <c r="D16" s="251">
        <v>9.6</v>
      </c>
      <c r="E16" s="251">
        <v>4.5</v>
      </c>
      <c r="F16" s="251">
        <v>4.5</v>
      </c>
      <c r="G16" s="251">
        <v>4.5</v>
      </c>
      <c r="H16" s="252">
        <v>3.8</v>
      </c>
      <c r="I16" s="134"/>
      <c r="J16" s="8"/>
    </row>
    <row r="17" spans="2:11" s="6" customFormat="1" ht="30" customHeight="1" x14ac:dyDescent="0.2">
      <c r="B17" s="135"/>
      <c r="C17" s="113" t="s">
        <v>175</v>
      </c>
      <c r="D17" s="124"/>
      <c r="E17" s="124"/>
      <c r="F17" s="124"/>
      <c r="G17" s="124"/>
      <c r="H17" s="125"/>
      <c r="I17" s="134"/>
      <c r="J17" s="8"/>
    </row>
    <row r="18" spans="2:11" s="6" customFormat="1" ht="11.25" customHeight="1" x14ac:dyDescent="0.2">
      <c r="B18" s="492"/>
      <c r="C18" s="114" t="s">
        <v>349</v>
      </c>
      <c r="D18" s="251">
        <v>2.2999999999999998</v>
      </c>
      <c r="E18" s="251">
        <v>1.5</v>
      </c>
      <c r="F18" s="251">
        <v>1.9</v>
      </c>
      <c r="G18" s="251">
        <v>2</v>
      </c>
      <c r="H18" s="252">
        <v>1.5</v>
      </c>
      <c r="I18" s="134"/>
      <c r="J18" s="8"/>
    </row>
    <row r="19" spans="2:11" s="6" customFormat="1" ht="10.199999999999999" x14ac:dyDescent="0.2">
      <c r="B19" s="135"/>
      <c r="C19" s="115" t="s">
        <v>341</v>
      </c>
      <c r="D19" s="251">
        <v>1.6</v>
      </c>
      <c r="E19" s="164">
        <v>1.5</v>
      </c>
      <c r="F19" s="164">
        <v>1.7</v>
      </c>
      <c r="G19" s="164">
        <v>1.7</v>
      </c>
      <c r="H19" s="165">
        <v>1.8</v>
      </c>
      <c r="I19" s="134"/>
      <c r="J19" s="8"/>
    </row>
    <row r="20" spans="2:11" s="6" customFormat="1" ht="10.199999999999999" x14ac:dyDescent="0.2">
      <c r="B20" s="135"/>
      <c r="C20" s="115" t="s">
        <v>342</v>
      </c>
      <c r="D20" s="164">
        <v>1</v>
      </c>
      <c r="E20" s="164">
        <v>1.8</v>
      </c>
      <c r="F20" s="164">
        <v>1.1000000000000001</v>
      </c>
      <c r="G20" s="164">
        <v>1.4</v>
      </c>
      <c r="H20" s="165">
        <v>1</v>
      </c>
      <c r="I20" s="134"/>
      <c r="J20" s="8"/>
    </row>
    <row r="21" spans="2:11" s="6" customFormat="1" ht="10.199999999999999" x14ac:dyDescent="0.2">
      <c r="B21" s="135"/>
      <c r="C21" s="115" t="s">
        <v>343</v>
      </c>
      <c r="D21" s="164">
        <v>2.6</v>
      </c>
      <c r="E21" s="164">
        <v>4.4000000000000004</v>
      </c>
      <c r="F21" s="164">
        <v>3.9</v>
      </c>
      <c r="G21" s="164">
        <v>5.0999999999999996</v>
      </c>
      <c r="H21" s="165">
        <v>-0.5</v>
      </c>
      <c r="I21" s="134"/>
      <c r="J21" s="8"/>
    </row>
    <row r="22" spans="2:11" s="6" customFormat="1" ht="10.199999999999999" x14ac:dyDescent="0.2">
      <c r="B22" s="135"/>
      <c r="C22" s="115" t="s">
        <v>344</v>
      </c>
      <c r="D22" s="164">
        <v>4.0999999999999996</v>
      </c>
      <c r="E22" s="164">
        <v>3.1</v>
      </c>
      <c r="F22" s="164">
        <v>4.2</v>
      </c>
      <c r="G22" s="164">
        <v>3.9</v>
      </c>
      <c r="H22" s="165">
        <v>3.8</v>
      </c>
      <c r="I22" s="134"/>
      <c r="J22" s="8"/>
    </row>
    <row r="23" spans="2:11" s="6" customFormat="1" ht="10.199999999999999" x14ac:dyDescent="0.2">
      <c r="B23" s="135"/>
      <c r="C23" s="115" t="s">
        <v>345</v>
      </c>
      <c r="D23" s="164">
        <v>2.2000000000000002</v>
      </c>
      <c r="E23" s="164">
        <v>4</v>
      </c>
      <c r="F23" s="164">
        <v>4.5</v>
      </c>
      <c r="G23" s="164">
        <v>4.5999999999999996</v>
      </c>
      <c r="H23" s="165">
        <v>3.1</v>
      </c>
      <c r="I23" s="134"/>
      <c r="J23" s="8"/>
    </row>
    <row r="24" spans="2:11" s="6" customFormat="1" ht="10.199999999999999" x14ac:dyDescent="0.2">
      <c r="B24" s="135"/>
      <c r="C24" s="114" t="s">
        <v>174</v>
      </c>
      <c r="D24" s="164">
        <v>7.1</v>
      </c>
      <c r="E24" s="164">
        <v>2.9</v>
      </c>
      <c r="F24" s="164">
        <v>2.6</v>
      </c>
      <c r="G24" s="164">
        <v>2.5</v>
      </c>
      <c r="H24" s="165">
        <v>2.2999999999999998</v>
      </c>
      <c r="I24" s="134"/>
      <c r="J24" s="8"/>
    </row>
    <row r="25" spans="2:11" s="6" customFormat="1" ht="10.199999999999999" x14ac:dyDescent="0.2">
      <c r="B25" s="135"/>
      <c r="C25" s="116" t="s">
        <v>346</v>
      </c>
      <c r="D25" s="166">
        <v>5.3</v>
      </c>
      <c r="E25" s="166">
        <v>2.5</v>
      </c>
      <c r="F25" s="166">
        <v>2.1</v>
      </c>
      <c r="G25" s="166">
        <v>2</v>
      </c>
      <c r="H25" s="167">
        <v>2</v>
      </c>
      <c r="I25" s="134"/>
      <c r="J25" s="8"/>
    </row>
    <row r="26" spans="2:11" s="6" customFormat="1" ht="14.25" customHeight="1" x14ac:dyDescent="0.2">
      <c r="B26" s="135"/>
      <c r="C26" s="239" t="s">
        <v>281</v>
      </c>
      <c r="D26" s="239"/>
      <c r="I26" s="134"/>
      <c r="J26" s="8"/>
    </row>
    <row r="27" spans="2:11" s="6" customFormat="1" ht="10.199999999999999" x14ac:dyDescent="0.2">
      <c r="B27" s="135"/>
      <c r="C27" s="403" t="s">
        <v>176</v>
      </c>
      <c r="D27" s="403"/>
      <c r="I27" s="134"/>
      <c r="J27" s="134"/>
      <c r="K27" s="8"/>
    </row>
    <row r="28" spans="2:11" s="6" customFormat="1" ht="10.199999999999999" x14ac:dyDescent="0.2">
      <c r="B28" s="135"/>
      <c r="C28" s="404" t="s">
        <v>177</v>
      </c>
      <c r="D28" s="404"/>
      <c r="G28" s="136"/>
      <c r="H28" s="136"/>
      <c r="I28" s="134"/>
      <c r="J28" s="134"/>
      <c r="K28" s="8"/>
    </row>
    <row r="29" spans="2:11" s="6" customFormat="1" ht="14.25" customHeight="1" x14ac:dyDescent="0.2">
      <c r="B29" s="135"/>
      <c r="C29" s="239"/>
      <c r="D29" s="239"/>
      <c r="I29" s="134"/>
      <c r="J29" s="8"/>
    </row>
    <row r="30" spans="2:11" s="6" customFormat="1" ht="30" customHeight="1" x14ac:dyDescent="0.2">
      <c r="B30" s="440" t="s">
        <v>321</v>
      </c>
      <c r="C30" s="441"/>
      <c r="D30" s="441"/>
      <c r="E30" s="441"/>
      <c r="F30" s="441"/>
      <c r="G30" s="441"/>
      <c r="H30" s="441"/>
      <c r="I30" s="442"/>
      <c r="J30" s="8"/>
    </row>
    <row r="31" spans="2:11" s="6" customFormat="1" ht="12.75" customHeight="1" x14ac:dyDescent="0.2">
      <c r="B31" s="130"/>
      <c r="C31" s="131"/>
      <c r="D31" s="131"/>
      <c r="E31" s="131"/>
      <c r="F31" s="131"/>
      <c r="G31" s="131"/>
      <c r="H31" s="131"/>
      <c r="I31" s="129"/>
      <c r="J31" s="8"/>
    </row>
    <row r="32" spans="2:11" s="6" customFormat="1" ht="17.25" customHeight="1" x14ac:dyDescent="0.2">
      <c r="B32" s="440" t="s">
        <v>322</v>
      </c>
      <c r="C32" s="443"/>
      <c r="D32" s="443"/>
      <c r="E32" s="443"/>
      <c r="F32" s="443"/>
      <c r="G32" s="443"/>
      <c r="H32" s="62"/>
      <c r="I32" s="137"/>
      <c r="J32" s="8"/>
    </row>
    <row r="33" spans="2:10" s="6" customFormat="1" ht="12.75" customHeight="1" x14ac:dyDescent="0.2">
      <c r="B33" s="130"/>
      <c r="C33" s="131"/>
      <c r="D33" s="131"/>
      <c r="E33" s="131"/>
      <c r="F33" s="131"/>
      <c r="G33" s="131"/>
      <c r="H33" s="131"/>
      <c r="I33" s="129"/>
      <c r="J33" s="8"/>
    </row>
    <row r="34" spans="2:10" s="6" customFormat="1" ht="12.75" customHeight="1" x14ac:dyDescent="0.2">
      <c r="B34" s="440" t="s">
        <v>323</v>
      </c>
      <c r="C34" s="443"/>
      <c r="D34" s="443"/>
      <c r="E34" s="443"/>
      <c r="F34" s="443"/>
      <c r="G34" s="443"/>
      <c r="H34" s="131"/>
      <c r="I34" s="129"/>
      <c r="J34" s="8"/>
    </row>
    <row r="35" spans="2:10" s="6" customFormat="1" ht="12.75" customHeight="1" x14ac:dyDescent="0.2">
      <c r="B35" s="130"/>
      <c r="C35" s="131"/>
      <c r="D35" s="131"/>
      <c r="E35" s="131"/>
      <c r="F35" s="131"/>
      <c r="G35" s="131"/>
      <c r="H35" s="131"/>
      <c r="I35" s="129"/>
      <c r="J35" s="8"/>
    </row>
    <row r="36" spans="2:10" s="6" customFormat="1" ht="10.199999999999999" x14ac:dyDescent="0.2">
      <c r="B36" s="440" t="s">
        <v>324</v>
      </c>
      <c r="C36" s="443"/>
      <c r="D36" s="443"/>
      <c r="E36" s="443"/>
      <c r="F36" s="443"/>
      <c r="G36" s="443"/>
      <c r="H36" s="62"/>
      <c r="I36" s="137"/>
      <c r="J36" s="8"/>
    </row>
    <row r="37" spans="2:10" x14ac:dyDescent="0.2">
      <c r="B37" s="128"/>
      <c r="C37" s="131"/>
      <c r="D37" s="131"/>
      <c r="E37" s="131"/>
      <c r="F37" s="131"/>
      <c r="G37" s="131"/>
      <c r="H37" s="131"/>
      <c r="I37" s="129"/>
    </row>
    <row r="38" spans="2:10" s="150" customFormat="1" x14ac:dyDescent="0.2">
      <c r="B38" s="147"/>
      <c r="C38" s="148"/>
      <c r="D38" s="148"/>
      <c r="E38" s="148"/>
      <c r="F38" s="148"/>
      <c r="G38" s="148"/>
      <c r="H38" s="148"/>
      <c r="I38" s="149"/>
    </row>
    <row r="39" spans="2:10" ht="16.8" x14ac:dyDescent="0.2">
      <c r="B39" s="138" t="s">
        <v>180</v>
      </c>
      <c r="C39" s="61"/>
      <c r="D39" s="61"/>
      <c r="E39" s="61"/>
      <c r="F39" s="61"/>
      <c r="G39" s="61"/>
      <c r="H39" s="61"/>
      <c r="I39" s="139"/>
    </row>
    <row r="40" spans="2:10" x14ac:dyDescent="0.2">
      <c r="B40" s="128"/>
      <c r="C40" s="131"/>
      <c r="D40" s="131"/>
      <c r="E40" s="131"/>
      <c r="F40" s="131"/>
      <c r="G40" s="131"/>
      <c r="H40" s="131"/>
      <c r="I40" s="129"/>
    </row>
    <row r="41" spans="2:10" ht="25.5" customHeight="1" x14ac:dyDescent="0.2">
      <c r="B41" s="444" t="s">
        <v>165</v>
      </c>
      <c r="C41" s="445"/>
      <c r="D41" s="445"/>
      <c r="E41" s="445"/>
      <c r="F41" s="445"/>
      <c r="G41" s="445"/>
      <c r="H41" s="445"/>
      <c r="I41" s="137"/>
    </row>
    <row r="42" spans="2:10" x14ac:dyDescent="0.2">
      <c r="B42" s="128"/>
      <c r="C42" s="131"/>
      <c r="D42" s="131"/>
      <c r="E42" s="131"/>
      <c r="F42" s="131"/>
      <c r="G42" s="131"/>
      <c r="H42" s="131"/>
      <c r="I42" s="129"/>
    </row>
    <row r="43" spans="2:10" x14ac:dyDescent="0.2">
      <c r="B43" s="140"/>
      <c r="I43" s="141"/>
    </row>
    <row r="44" spans="2:10" x14ac:dyDescent="0.2">
      <c r="B44" s="140"/>
      <c r="I44" s="141"/>
    </row>
    <row r="45" spans="2:10" x14ac:dyDescent="0.2">
      <c r="B45" s="140"/>
      <c r="I45" s="141"/>
    </row>
    <row r="46" spans="2:10" x14ac:dyDescent="0.2">
      <c r="B46" s="140"/>
      <c r="I46" s="141"/>
    </row>
    <row r="47" spans="2:10" x14ac:dyDescent="0.2">
      <c r="B47" s="140"/>
      <c r="I47" s="141"/>
    </row>
    <row r="48" spans="2:10" x14ac:dyDescent="0.2">
      <c r="B48" s="140"/>
      <c r="I48" s="141"/>
    </row>
    <row r="49" spans="2:9" ht="25.5" customHeight="1" x14ac:dyDescent="0.2">
      <c r="B49" s="444" t="s">
        <v>181</v>
      </c>
      <c r="C49" s="445"/>
      <c r="D49" s="445"/>
      <c r="E49" s="445"/>
      <c r="F49" s="445"/>
      <c r="G49" s="445"/>
      <c r="H49" s="445"/>
      <c r="I49" s="141"/>
    </row>
    <row r="50" spans="2:9" s="150" customFormat="1" x14ac:dyDescent="0.2">
      <c r="B50" s="151"/>
      <c r="I50" s="152"/>
    </row>
    <row r="51" spans="2:9" ht="27.75" customHeight="1" x14ac:dyDescent="0.2">
      <c r="B51" s="444" t="s">
        <v>182</v>
      </c>
      <c r="C51" s="445"/>
      <c r="D51" s="445"/>
      <c r="E51" s="445"/>
      <c r="F51" s="445"/>
      <c r="G51" s="445"/>
      <c r="H51" s="445"/>
      <c r="I51" s="141"/>
    </row>
    <row r="52" spans="2:9" ht="30.75" customHeight="1" x14ac:dyDescent="0.2">
      <c r="B52" s="447" t="s">
        <v>325</v>
      </c>
      <c r="C52" s="448"/>
      <c r="D52" s="448"/>
      <c r="E52" s="448"/>
      <c r="F52" s="448"/>
      <c r="G52" s="448"/>
      <c r="H52" s="448"/>
      <c r="I52" s="141"/>
    </row>
    <row r="53" spans="2:9" x14ac:dyDescent="0.2">
      <c r="B53" s="140"/>
      <c r="I53" s="141"/>
    </row>
    <row r="54" spans="2:9" x14ac:dyDescent="0.2">
      <c r="B54" s="140"/>
      <c r="I54" s="141"/>
    </row>
    <row r="55" spans="2:9" x14ac:dyDescent="0.2">
      <c r="B55" s="140"/>
      <c r="I55" s="141"/>
    </row>
    <row r="56" spans="2:9" x14ac:dyDescent="0.2">
      <c r="B56" s="140"/>
      <c r="I56" s="141"/>
    </row>
    <row r="57" spans="2:9" x14ac:dyDescent="0.2">
      <c r="B57" s="140"/>
      <c r="I57" s="141"/>
    </row>
    <row r="58" spans="2:9" x14ac:dyDescent="0.2">
      <c r="B58" s="140"/>
      <c r="I58" s="141"/>
    </row>
    <row r="59" spans="2:9" x14ac:dyDescent="0.2">
      <c r="B59" s="140"/>
      <c r="I59" s="141"/>
    </row>
    <row r="60" spans="2:9" x14ac:dyDescent="0.2">
      <c r="B60" s="140"/>
      <c r="I60" s="141"/>
    </row>
    <row r="61" spans="2:9" x14ac:dyDescent="0.2">
      <c r="B61" s="140"/>
      <c r="I61" s="141"/>
    </row>
    <row r="62" spans="2:9" x14ac:dyDescent="0.2">
      <c r="B62" s="140"/>
      <c r="I62" s="141"/>
    </row>
    <row r="63" spans="2:9" x14ac:dyDescent="0.2">
      <c r="B63" s="140"/>
      <c r="I63" s="141"/>
    </row>
    <row r="64" spans="2:9" x14ac:dyDescent="0.2">
      <c r="B64" s="140"/>
      <c r="I64" s="141"/>
    </row>
    <row r="65" spans="2:9" x14ac:dyDescent="0.2">
      <c r="B65" s="140"/>
      <c r="I65" s="141"/>
    </row>
    <row r="66" spans="2:9" x14ac:dyDescent="0.2">
      <c r="B66" s="140"/>
      <c r="I66" s="141"/>
    </row>
    <row r="67" spans="2:9" x14ac:dyDescent="0.2">
      <c r="B67" s="140"/>
      <c r="I67" s="141"/>
    </row>
    <row r="68" spans="2:9" s="150" customFormat="1" x14ac:dyDescent="0.2">
      <c r="B68" s="151"/>
      <c r="I68" s="152"/>
    </row>
    <row r="69" spans="2:9" x14ac:dyDescent="0.2">
      <c r="B69" s="447" t="s">
        <v>326</v>
      </c>
      <c r="C69" s="448"/>
      <c r="D69" s="448"/>
      <c r="E69" s="448"/>
      <c r="F69" s="448"/>
      <c r="G69" s="448"/>
      <c r="H69" s="448"/>
      <c r="I69" s="141"/>
    </row>
    <row r="70" spans="2:9" x14ac:dyDescent="0.2">
      <c r="B70" s="140"/>
      <c r="I70" s="141"/>
    </row>
    <row r="71" spans="2:9" x14ac:dyDescent="0.2">
      <c r="B71" s="140"/>
      <c r="I71" s="141"/>
    </row>
    <row r="72" spans="2:9" x14ac:dyDescent="0.2">
      <c r="B72" s="140"/>
      <c r="I72" s="141"/>
    </row>
    <row r="73" spans="2:9" x14ac:dyDescent="0.2">
      <c r="B73" s="140"/>
      <c r="I73" s="141"/>
    </row>
    <row r="74" spans="2:9" x14ac:dyDescent="0.2">
      <c r="B74" s="140"/>
      <c r="I74" s="141"/>
    </row>
    <row r="75" spans="2:9" x14ac:dyDescent="0.2">
      <c r="B75" s="140"/>
      <c r="I75" s="141"/>
    </row>
    <row r="76" spans="2:9" x14ac:dyDescent="0.2">
      <c r="B76" s="140"/>
      <c r="I76" s="141"/>
    </row>
    <row r="77" spans="2:9" x14ac:dyDescent="0.2">
      <c r="B77" s="140"/>
      <c r="I77" s="141"/>
    </row>
    <row r="78" spans="2:9" x14ac:dyDescent="0.2">
      <c r="B78" s="140"/>
      <c r="I78" s="141"/>
    </row>
    <row r="79" spans="2:9" x14ac:dyDescent="0.2">
      <c r="B79" s="140"/>
      <c r="I79" s="141"/>
    </row>
    <row r="80" spans="2:9" x14ac:dyDescent="0.2">
      <c r="B80" s="140"/>
      <c r="I80" s="141"/>
    </row>
    <row r="81" spans="2:9" x14ac:dyDescent="0.2">
      <c r="B81" s="140"/>
      <c r="I81" s="141"/>
    </row>
    <row r="82" spans="2:9" x14ac:dyDescent="0.2">
      <c r="B82" s="140"/>
      <c r="I82" s="141"/>
    </row>
    <row r="83" spans="2:9" x14ac:dyDescent="0.2">
      <c r="B83" s="447" t="s">
        <v>327</v>
      </c>
      <c r="C83" s="448"/>
      <c r="D83" s="448"/>
      <c r="E83" s="448"/>
      <c r="F83" s="448"/>
      <c r="G83" s="448"/>
      <c r="H83" s="448"/>
      <c r="I83" s="141"/>
    </row>
    <row r="84" spans="2:9" x14ac:dyDescent="0.2">
      <c r="B84" s="140"/>
      <c r="I84" s="141"/>
    </row>
    <row r="85" spans="2:9" x14ac:dyDescent="0.2">
      <c r="B85" s="140"/>
      <c r="I85" s="141"/>
    </row>
    <row r="86" spans="2:9" x14ac:dyDescent="0.2">
      <c r="B86" s="140"/>
      <c r="I86" s="141"/>
    </row>
    <row r="87" spans="2:9" x14ac:dyDescent="0.2">
      <c r="B87" s="140"/>
      <c r="I87" s="141"/>
    </row>
    <row r="88" spans="2:9" x14ac:dyDescent="0.2">
      <c r="B88" s="140"/>
      <c r="I88" s="141"/>
    </row>
    <row r="89" spans="2:9" x14ac:dyDescent="0.2">
      <c r="B89" s="140"/>
      <c r="I89" s="141"/>
    </row>
    <row r="90" spans="2:9" x14ac:dyDescent="0.2">
      <c r="B90" s="140"/>
      <c r="I90" s="141"/>
    </row>
    <row r="91" spans="2:9" x14ac:dyDescent="0.2">
      <c r="B91" s="140"/>
      <c r="I91" s="141"/>
    </row>
    <row r="92" spans="2:9" x14ac:dyDescent="0.2">
      <c r="B92" s="140"/>
      <c r="I92" s="141"/>
    </row>
    <row r="93" spans="2:9" x14ac:dyDescent="0.2">
      <c r="B93" s="140"/>
      <c r="I93" s="141"/>
    </row>
    <row r="94" spans="2:9" x14ac:dyDescent="0.2">
      <c r="B94" s="140"/>
      <c r="I94" s="141"/>
    </row>
    <row r="95" spans="2:9" x14ac:dyDescent="0.2">
      <c r="B95" s="140"/>
      <c r="I95" s="141"/>
    </row>
    <row r="96" spans="2:9" x14ac:dyDescent="0.2">
      <c r="B96" s="140"/>
      <c r="I96" s="141"/>
    </row>
    <row r="97" spans="2:9" x14ac:dyDescent="0.2">
      <c r="B97" s="140"/>
      <c r="I97" s="141"/>
    </row>
    <row r="98" spans="2:9" x14ac:dyDescent="0.2">
      <c r="B98" s="140"/>
      <c r="I98" s="141"/>
    </row>
    <row r="99" spans="2:9" x14ac:dyDescent="0.2">
      <c r="B99" s="142"/>
      <c r="C99" s="143"/>
      <c r="D99" s="143"/>
      <c r="E99" s="143"/>
      <c r="F99" s="143"/>
      <c r="G99" s="143"/>
      <c r="H99" s="143"/>
      <c r="I99" s="144"/>
    </row>
    <row r="100" spans="2:9" x14ac:dyDescent="0.2"/>
    <row r="101" spans="2:9" s="150" customFormat="1" x14ac:dyDescent="0.2"/>
    <row r="102" spans="2:9" x14ac:dyDescent="0.2"/>
    <row r="103" spans="2:9" x14ac:dyDescent="0.2"/>
    <row r="104" spans="2:9" x14ac:dyDescent="0.2"/>
    <row r="105" spans="2:9" x14ac:dyDescent="0.2"/>
    <row r="106" spans="2:9" x14ac:dyDescent="0.2"/>
    <row r="107" spans="2:9" x14ac:dyDescent="0.2"/>
  </sheetData>
  <sheetProtection sheet="1" selectLockedCells="1"/>
  <mergeCells count="12">
    <mergeCell ref="B51:H51"/>
    <mergeCell ref="C7:H7"/>
    <mergeCell ref="B52:H52"/>
    <mergeCell ref="B69:H69"/>
    <mergeCell ref="B83:H83"/>
    <mergeCell ref="B34:G34"/>
    <mergeCell ref="B41:H41"/>
    <mergeCell ref="B5:I5"/>
    <mergeCell ref="B30:I30"/>
    <mergeCell ref="B32:G32"/>
    <mergeCell ref="B36:G36"/>
    <mergeCell ref="B49:H49"/>
  </mergeCells>
  <dataValidations count="1">
    <dataValidation allowBlank="1" showInputMessage="1" showErrorMessage="1" promptTitle="Ano 0" prompt="O ano 0, no caso do PAO 2025-2027 deverá ser o ano 2024" sqref="C10:D10" xr:uid="{00000000-0002-0000-0100-000000000000}"/>
  </dataValidations>
  <pageMargins left="0.74803149606299213" right="0.74803149606299213" top="0.98425196850393704" bottom="0.98425196850393704" header="0.51181102362204722" footer="0.51181102362204722"/>
  <pageSetup scale="68" fitToHeight="2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3">
    <tabColor theme="4" tint="-0.249977111117893"/>
    <pageSetUpPr fitToPage="1"/>
  </sheetPr>
  <dimension ref="A1:WVQ105"/>
  <sheetViews>
    <sheetView showGridLines="0" zoomScaleNormal="100" workbookViewId="0">
      <selection activeCell="A4" sqref="A4"/>
    </sheetView>
  </sheetViews>
  <sheetFormatPr defaultColWidth="0" defaultRowHeight="12.75" customHeight="1" zeroHeight="1" x14ac:dyDescent="0.2"/>
  <cols>
    <col min="1" max="1" width="4.109375" style="5" customWidth="1"/>
    <col min="2" max="2" width="34.6640625" style="5" customWidth="1"/>
    <col min="3" max="3" width="14.6640625" style="5" bestFit="1" customWidth="1"/>
    <col min="4" max="7" width="13.5546875" style="5" customWidth="1"/>
    <col min="8" max="8" width="2.109375" style="5" customWidth="1"/>
    <col min="9" max="9" width="6.33203125" style="5" customWidth="1"/>
    <col min="10" max="253" width="12.33203125" style="5" hidden="1"/>
    <col min="254" max="254" width="2.33203125" style="5" hidden="1"/>
    <col min="255" max="255" width="40.109375" style="5" hidden="1"/>
    <col min="256" max="265" width="13.5546875" style="5" hidden="1"/>
    <col min="266" max="509" width="12.33203125" style="5" hidden="1"/>
    <col min="510" max="510" width="2.33203125" style="5" hidden="1"/>
    <col min="511" max="511" width="40.109375" style="5" hidden="1"/>
    <col min="512" max="521" width="13.5546875" style="5" hidden="1"/>
    <col min="522" max="765" width="12.33203125" style="5" hidden="1"/>
    <col min="766" max="766" width="2.33203125" style="5" hidden="1"/>
    <col min="767" max="767" width="40.109375" style="5" hidden="1"/>
    <col min="768" max="777" width="13.5546875" style="5" hidden="1"/>
    <col min="778" max="1021" width="12.33203125" style="5" hidden="1"/>
    <col min="1022" max="1022" width="2.33203125" style="5" hidden="1"/>
    <col min="1023" max="1023" width="40.109375" style="5" hidden="1"/>
    <col min="1024" max="1033" width="13.5546875" style="5" hidden="1"/>
    <col min="1034" max="1277" width="12.33203125" style="5" hidden="1"/>
    <col min="1278" max="1278" width="2.33203125" style="5" hidden="1"/>
    <col min="1279" max="1279" width="40.109375" style="5" hidden="1"/>
    <col min="1280" max="1289" width="13.5546875" style="5" hidden="1"/>
    <col min="1290" max="1533" width="12.33203125" style="5" hidden="1"/>
    <col min="1534" max="1534" width="2.33203125" style="5" hidden="1"/>
    <col min="1535" max="1535" width="40.109375" style="5" hidden="1"/>
    <col min="1536" max="1545" width="13.5546875" style="5" hidden="1"/>
    <col min="1546" max="1789" width="12.33203125" style="5" hidden="1"/>
    <col min="1790" max="1790" width="2.33203125" style="5" hidden="1"/>
    <col min="1791" max="1791" width="40.109375" style="5" hidden="1"/>
    <col min="1792" max="1801" width="13.5546875" style="5" hidden="1"/>
    <col min="1802" max="2045" width="12.33203125" style="5" hidden="1"/>
    <col min="2046" max="2046" width="2.33203125" style="5" hidden="1"/>
    <col min="2047" max="2047" width="40.109375" style="5" hidden="1"/>
    <col min="2048" max="2057" width="13.5546875" style="5" hidden="1"/>
    <col min="2058" max="2301" width="12.33203125" style="5" hidden="1"/>
    <col min="2302" max="2302" width="2.33203125" style="5" hidden="1"/>
    <col min="2303" max="2303" width="40.109375" style="5" hidden="1"/>
    <col min="2304" max="2313" width="13.5546875" style="5" hidden="1"/>
    <col min="2314" max="2557" width="12.33203125" style="5" hidden="1"/>
    <col min="2558" max="2558" width="2.33203125" style="5" hidden="1"/>
    <col min="2559" max="2559" width="40.109375" style="5" hidden="1"/>
    <col min="2560" max="2569" width="13.5546875" style="5" hidden="1"/>
    <col min="2570" max="2813" width="12.33203125" style="5" hidden="1"/>
    <col min="2814" max="2814" width="2.33203125" style="5" hidden="1"/>
    <col min="2815" max="2815" width="40.109375" style="5" hidden="1"/>
    <col min="2816" max="2825" width="13.5546875" style="5" hidden="1"/>
    <col min="2826" max="3069" width="12.33203125" style="5" hidden="1"/>
    <col min="3070" max="3070" width="2.33203125" style="5" hidden="1"/>
    <col min="3071" max="3071" width="40.109375" style="5" hidden="1"/>
    <col min="3072" max="3081" width="13.5546875" style="5" hidden="1"/>
    <col min="3082" max="3325" width="12.33203125" style="5" hidden="1"/>
    <col min="3326" max="3326" width="2.33203125" style="5" hidden="1"/>
    <col min="3327" max="3327" width="40.109375" style="5" hidden="1"/>
    <col min="3328" max="3337" width="13.5546875" style="5" hidden="1"/>
    <col min="3338" max="3581" width="12.33203125" style="5" hidden="1"/>
    <col min="3582" max="3582" width="2.33203125" style="5" hidden="1"/>
    <col min="3583" max="3583" width="40.109375" style="5" hidden="1"/>
    <col min="3584" max="3593" width="13.5546875" style="5" hidden="1"/>
    <col min="3594" max="3837" width="12.33203125" style="5" hidden="1"/>
    <col min="3838" max="3838" width="2.33203125" style="5" hidden="1"/>
    <col min="3839" max="3839" width="40.109375" style="5" hidden="1"/>
    <col min="3840" max="3849" width="13.5546875" style="5" hidden="1"/>
    <col min="3850" max="4093" width="12.33203125" style="5" hidden="1"/>
    <col min="4094" max="4094" width="2.33203125" style="5" hidden="1"/>
    <col min="4095" max="4095" width="40.109375" style="5" hidden="1"/>
    <col min="4096" max="4105" width="13.5546875" style="5" hidden="1"/>
    <col min="4106" max="4349" width="12.33203125" style="5" hidden="1"/>
    <col min="4350" max="4350" width="2.33203125" style="5" hidden="1"/>
    <col min="4351" max="4351" width="40.109375" style="5" hidden="1"/>
    <col min="4352" max="4361" width="13.5546875" style="5" hidden="1"/>
    <col min="4362" max="4605" width="12.33203125" style="5" hidden="1"/>
    <col min="4606" max="4606" width="2.33203125" style="5" hidden="1"/>
    <col min="4607" max="4607" width="40.109375" style="5" hidden="1"/>
    <col min="4608" max="4617" width="13.5546875" style="5" hidden="1"/>
    <col min="4618" max="4861" width="12.33203125" style="5" hidden="1"/>
    <col min="4862" max="4862" width="2.33203125" style="5" hidden="1"/>
    <col min="4863" max="4863" width="40.109375" style="5" hidden="1"/>
    <col min="4864" max="4873" width="13.5546875" style="5" hidden="1"/>
    <col min="4874" max="5117" width="12.33203125" style="5" hidden="1"/>
    <col min="5118" max="5118" width="2.33203125" style="5" hidden="1"/>
    <col min="5119" max="5119" width="40.109375" style="5" hidden="1"/>
    <col min="5120" max="5129" width="13.5546875" style="5" hidden="1"/>
    <col min="5130" max="5373" width="12.33203125" style="5" hidden="1"/>
    <col min="5374" max="5374" width="2.33203125" style="5" hidden="1"/>
    <col min="5375" max="5375" width="40.109375" style="5" hidden="1"/>
    <col min="5376" max="5385" width="13.5546875" style="5" hidden="1"/>
    <col min="5386" max="5629" width="12.33203125" style="5" hidden="1"/>
    <col min="5630" max="5630" width="2.33203125" style="5" hidden="1"/>
    <col min="5631" max="5631" width="40.109375" style="5" hidden="1"/>
    <col min="5632" max="5641" width="13.5546875" style="5" hidden="1"/>
    <col min="5642" max="5885" width="12.33203125" style="5" hidden="1"/>
    <col min="5886" max="5886" width="2.33203125" style="5" hidden="1"/>
    <col min="5887" max="5887" width="40.109375" style="5" hidden="1"/>
    <col min="5888" max="5897" width="13.5546875" style="5" hidden="1"/>
    <col min="5898" max="6141" width="12.33203125" style="5" hidden="1"/>
    <col min="6142" max="6142" width="2.33203125" style="5" hidden="1"/>
    <col min="6143" max="6143" width="40.109375" style="5" hidden="1"/>
    <col min="6144" max="6153" width="13.5546875" style="5" hidden="1"/>
    <col min="6154" max="6397" width="12.33203125" style="5" hidden="1"/>
    <col min="6398" max="6398" width="2.33203125" style="5" hidden="1"/>
    <col min="6399" max="6399" width="40.109375" style="5" hidden="1"/>
    <col min="6400" max="6409" width="13.5546875" style="5" hidden="1"/>
    <col min="6410" max="6653" width="12.33203125" style="5" hidden="1"/>
    <col min="6654" max="6654" width="2.33203125" style="5" hidden="1"/>
    <col min="6655" max="6655" width="40.109375" style="5" hidden="1"/>
    <col min="6656" max="6665" width="13.5546875" style="5" hidden="1"/>
    <col min="6666" max="6909" width="12.33203125" style="5" hidden="1"/>
    <col min="6910" max="6910" width="2.33203125" style="5" hidden="1"/>
    <col min="6911" max="6911" width="40.109375" style="5" hidden="1"/>
    <col min="6912" max="6921" width="13.5546875" style="5" hidden="1"/>
    <col min="6922" max="7165" width="12.33203125" style="5" hidden="1"/>
    <col min="7166" max="7166" width="2.33203125" style="5" hidden="1"/>
    <col min="7167" max="7167" width="40.109375" style="5" hidden="1"/>
    <col min="7168" max="7177" width="13.5546875" style="5" hidden="1"/>
    <col min="7178" max="7421" width="12.33203125" style="5" hidden="1"/>
    <col min="7422" max="7422" width="2.33203125" style="5" hidden="1"/>
    <col min="7423" max="7423" width="40.109375" style="5" hidden="1"/>
    <col min="7424" max="7433" width="13.5546875" style="5" hidden="1"/>
    <col min="7434" max="7677" width="12.33203125" style="5" hidden="1"/>
    <col min="7678" max="7678" width="2.33203125" style="5" hidden="1"/>
    <col min="7679" max="7679" width="40.109375" style="5" hidden="1"/>
    <col min="7680" max="7689" width="13.5546875" style="5" hidden="1"/>
    <col min="7690" max="7933" width="12.33203125" style="5" hidden="1"/>
    <col min="7934" max="7934" width="2.33203125" style="5" hidden="1"/>
    <col min="7935" max="7935" width="40.109375" style="5" hidden="1"/>
    <col min="7936" max="7945" width="13.5546875" style="5" hidden="1"/>
    <col min="7946" max="8189" width="12.33203125" style="5" hidden="1"/>
    <col min="8190" max="8190" width="2.33203125" style="5" hidden="1"/>
    <col min="8191" max="8191" width="40.109375" style="5" hidden="1"/>
    <col min="8192" max="8201" width="13.5546875" style="5" hidden="1"/>
    <col min="8202" max="8445" width="12.33203125" style="5" hidden="1"/>
    <col min="8446" max="8446" width="2.33203125" style="5" hidden="1"/>
    <col min="8447" max="8447" width="40.109375" style="5" hidden="1"/>
    <col min="8448" max="8457" width="13.5546875" style="5" hidden="1"/>
    <col min="8458" max="8701" width="12.33203125" style="5" hidden="1"/>
    <col min="8702" max="8702" width="2.33203125" style="5" hidden="1"/>
    <col min="8703" max="8703" width="40.109375" style="5" hidden="1"/>
    <col min="8704" max="8713" width="13.5546875" style="5" hidden="1"/>
    <col min="8714" max="8957" width="12.33203125" style="5" hidden="1"/>
    <col min="8958" max="8958" width="2.33203125" style="5" hidden="1"/>
    <col min="8959" max="8959" width="40.109375" style="5" hidden="1"/>
    <col min="8960" max="8969" width="13.5546875" style="5" hidden="1"/>
    <col min="8970" max="9213" width="12.33203125" style="5" hidden="1"/>
    <col min="9214" max="9214" width="2.33203125" style="5" hidden="1"/>
    <col min="9215" max="9215" width="40.109375" style="5" hidden="1"/>
    <col min="9216" max="9225" width="13.5546875" style="5" hidden="1"/>
    <col min="9226" max="9469" width="12.33203125" style="5" hidden="1"/>
    <col min="9470" max="9470" width="2.33203125" style="5" hidden="1"/>
    <col min="9471" max="9471" width="40.109375" style="5" hidden="1"/>
    <col min="9472" max="9481" width="13.5546875" style="5" hidden="1"/>
    <col min="9482" max="9725" width="12.33203125" style="5" hidden="1"/>
    <col min="9726" max="9726" width="2.33203125" style="5" hidden="1"/>
    <col min="9727" max="9727" width="40.109375" style="5" hidden="1"/>
    <col min="9728" max="9737" width="13.5546875" style="5" hidden="1"/>
    <col min="9738" max="9981" width="12.33203125" style="5" hidden="1"/>
    <col min="9982" max="9982" width="2.33203125" style="5" hidden="1"/>
    <col min="9983" max="9983" width="40.109375" style="5" hidden="1"/>
    <col min="9984" max="9993" width="13.5546875" style="5" hidden="1"/>
    <col min="9994" max="10237" width="12.33203125" style="5" hidden="1"/>
    <col min="10238" max="10238" width="2.33203125" style="5" hidden="1"/>
    <col min="10239" max="10239" width="40.109375" style="5" hidden="1"/>
    <col min="10240" max="10249" width="13.5546875" style="5" hidden="1"/>
    <col min="10250" max="10493" width="12.33203125" style="5" hidden="1"/>
    <col min="10494" max="10494" width="2.33203125" style="5" hidden="1"/>
    <col min="10495" max="10495" width="40.109375" style="5" hidden="1"/>
    <col min="10496" max="10505" width="13.5546875" style="5" hidden="1"/>
    <col min="10506" max="10749" width="12.33203125" style="5" hidden="1"/>
    <col min="10750" max="10750" width="2.33203125" style="5" hidden="1"/>
    <col min="10751" max="10751" width="40.109375" style="5" hidden="1"/>
    <col min="10752" max="10761" width="13.5546875" style="5" hidden="1"/>
    <col min="10762" max="11005" width="12.33203125" style="5" hidden="1"/>
    <col min="11006" max="11006" width="2.33203125" style="5" hidden="1"/>
    <col min="11007" max="11007" width="40.109375" style="5" hidden="1"/>
    <col min="11008" max="11017" width="13.5546875" style="5" hidden="1"/>
    <col min="11018" max="11261" width="12.33203125" style="5" hidden="1"/>
    <col min="11262" max="11262" width="2.33203125" style="5" hidden="1"/>
    <col min="11263" max="11263" width="40.109375" style="5" hidden="1"/>
    <col min="11264" max="11273" width="13.5546875" style="5" hidden="1"/>
    <col min="11274" max="11517" width="12.33203125" style="5" hidden="1"/>
    <col min="11518" max="11518" width="2.33203125" style="5" hidden="1"/>
    <col min="11519" max="11519" width="40.109375" style="5" hidden="1"/>
    <col min="11520" max="11529" width="13.5546875" style="5" hidden="1"/>
    <col min="11530" max="11773" width="12.33203125" style="5" hidden="1"/>
    <col min="11774" max="11774" width="2.33203125" style="5" hidden="1"/>
    <col min="11775" max="11775" width="40.109375" style="5" hidden="1"/>
    <col min="11776" max="11785" width="13.5546875" style="5" hidden="1"/>
    <col min="11786" max="12029" width="12.33203125" style="5" hidden="1"/>
    <col min="12030" max="12030" width="2.33203125" style="5" hidden="1"/>
    <col min="12031" max="12031" width="40.109375" style="5" hidden="1"/>
    <col min="12032" max="12041" width="13.5546875" style="5" hidden="1"/>
    <col min="12042" max="12285" width="12.33203125" style="5" hidden="1"/>
    <col min="12286" max="12286" width="2.33203125" style="5" hidden="1"/>
    <col min="12287" max="12287" width="40.109375" style="5" hidden="1"/>
    <col min="12288" max="12297" width="13.5546875" style="5" hidden="1"/>
    <col min="12298" max="12541" width="12.33203125" style="5" hidden="1"/>
    <col min="12542" max="12542" width="2.33203125" style="5" hidden="1"/>
    <col min="12543" max="12543" width="40.109375" style="5" hidden="1"/>
    <col min="12544" max="12553" width="13.5546875" style="5" hidden="1"/>
    <col min="12554" max="12797" width="12.33203125" style="5" hidden="1"/>
    <col min="12798" max="12798" width="2.33203125" style="5" hidden="1"/>
    <col min="12799" max="12799" width="40.109375" style="5" hidden="1"/>
    <col min="12800" max="12809" width="13.5546875" style="5" hidden="1"/>
    <col min="12810" max="13053" width="12.33203125" style="5" hidden="1"/>
    <col min="13054" max="13054" width="2.33203125" style="5" hidden="1"/>
    <col min="13055" max="13055" width="40.109375" style="5" hidden="1"/>
    <col min="13056" max="13065" width="13.5546875" style="5" hidden="1"/>
    <col min="13066" max="13309" width="12.33203125" style="5" hidden="1"/>
    <col min="13310" max="13310" width="2.33203125" style="5" hidden="1"/>
    <col min="13311" max="13311" width="40.109375" style="5" hidden="1"/>
    <col min="13312" max="13321" width="13.5546875" style="5" hidden="1"/>
    <col min="13322" max="13565" width="12.33203125" style="5" hidden="1"/>
    <col min="13566" max="13566" width="2.33203125" style="5" hidden="1"/>
    <col min="13567" max="13567" width="40.109375" style="5" hidden="1"/>
    <col min="13568" max="13577" width="13.5546875" style="5" hidden="1"/>
    <col min="13578" max="13821" width="12.33203125" style="5" hidden="1"/>
    <col min="13822" max="13822" width="2.33203125" style="5" hidden="1"/>
    <col min="13823" max="13823" width="40.109375" style="5" hidden="1"/>
    <col min="13824" max="13833" width="13.5546875" style="5" hidden="1"/>
    <col min="13834" max="14077" width="12.33203125" style="5" hidden="1"/>
    <col min="14078" max="14078" width="2.33203125" style="5" hidden="1"/>
    <col min="14079" max="14079" width="40.109375" style="5" hidden="1"/>
    <col min="14080" max="14089" width="13.5546875" style="5" hidden="1"/>
    <col min="14090" max="14333" width="12.33203125" style="5" hidden="1"/>
    <col min="14334" max="14334" width="2.33203125" style="5" hidden="1"/>
    <col min="14335" max="14335" width="40.109375" style="5" hidden="1"/>
    <col min="14336" max="14345" width="13.5546875" style="5" hidden="1"/>
    <col min="14346" max="14589" width="12.33203125" style="5" hidden="1"/>
    <col min="14590" max="14590" width="2.33203125" style="5" hidden="1"/>
    <col min="14591" max="14591" width="40.109375" style="5" hidden="1"/>
    <col min="14592" max="14601" width="13.5546875" style="5" hidden="1"/>
    <col min="14602" max="14845" width="12.33203125" style="5" hidden="1"/>
    <col min="14846" max="14846" width="2.33203125" style="5" hidden="1"/>
    <col min="14847" max="14847" width="40.109375" style="5" hidden="1"/>
    <col min="14848" max="14857" width="13.5546875" style="5" hidden="1"/>
    <col min="14858" max="15101" width="12.33203125" style="5" hidden="1"/>
    <col min="15102" max="15102" width="2.33203125" style="5" hidden="1"/>
    <col min="15103" max="15103" width="40.109375" style="5" hidden="1"/>
    <col min="15104" max="15113" width="13.5546875" style="5" hidden="1"/>
    <col min="15114" max="15357" width="12.33203125" style="5" hidden="1"/>
    <col min="15358" max="15358" width="2.33203125" style="5" hidden="1"/>
    <col min="15359" max="15359" width="40.109375" style="5" hidden="1"/>
    <col min="15360" max="15369" width="13.5546875" style="5" hidden="1"/>
    <col min="15370" max="15613" width="12.33203125" style="5" hidden="1"/>
    <col min="15614" max="15614" width="2.33203125" style="5" hidden="1"/>
    <col min="15615" max="15615" width="40.109375" style="5" hidden="1"/>
    <col min="15616" max="15625" width="13.5546875" style="5" hidden="1"/>
    <col min="15626" max="15869" width="12.33203125" style="5" hidden="1"/>
    <col min="15870" max="15870" width="2.33203125" style="5" hidden="1"/>
    <col min="15871" max="15871" width="40.109375" style="5" hidden="1"/>
    <col min="15872" max="15881" width="13.5546875" style="5" hidden="1"/>
    <col min="15882" max="16125" width="12.33203125" style="5" hidden="1"/>
    <col min="16126" max="16126" width="2.33203125" style="5" hidden="1"/>
    <col min="16127" max="16127" width="40.109375" style="5" hidden="1"/>
    <col min="16128" max="16137" width="13.5546875" style="5" hidden="1"/>
    <col min="16138" max="16384" width="12.33203125" style="5" hidden="1"/>
  </cols>
  <sheetData>
    <row r="1" spans="1:9" ht="14.4" customHeight="1" x14ac:dyDescent="0.2"/>
    <row r="2" spans="1:9" ht="14.4" customHeight="1" x14ac:dyDescent="0.2"/>
    <row r="3" spans="1:9" ht="14.4" customHeight="1" x14ac:dyDescent="0.2"/>
    <row r="4" spans="1:9" s="6" customFormat="1" ht="14.4" customHeight="1" x14ac:dyDescent="0.2">
      <c r="A4" s="145"/>
      <c r="B4" s="146"/>
      <c r="C4" s="146"/>
      <c r="D4" s="146"/>
      <c r="E4" s="146"/>
      <c r="F4" s="146"/>
      <c r="G4" s="146"/>
      <c r="H4" s="146"/>
      <c r="I4" s="146"/>
    </row>
    <row r="5" spans="1:9" s="6" customFormat="1" ht="22.5" customHeight="1" x14ac:dyDescent="0.2">
      <c r="B5" s="280" t="s">
        <v>208</v>
      </c>
      <c r="C5" s="281"/>
      <c r="D5" s="281"/>
      <c r="E5" s="281"/>
      <c r="F5" s="281"/>
      <c r="G5" s="281"/>
      <c r="H5" s="283"/>
      <c r="I5" s="7"/>
    </row>
    <row r="6" spans="1:9" s="6" customFormat="1" ht="3.75" customHeight="1" x14ac:dyDescent="0.2">
      <c r="A6" s="325"/>
      <c r="B6" s="126"/>
      <c r="C6" s="42"/>
      <c r="D6" s="42"/>
      <c r="E6" s="42"/>
      <c r="F6" s="42"/>
      <c r="G6" s="42"/>
      <c r="H6" s="279"/>
      <c r="I6" s="7"/>
    </row>
    <row r="7" spans="1:9" s="6" customFormat="1" ht="10.199999999999999" x14ac:dyDescent="0.2">
      <c r="F7" s="6" t="s">
        <v>289</v>
      </c>
      <c r="G7" s="322">
        <v>1000</v>
      </c>
    </row>
    <row r="8" spans="1:9" s="6" customFormat="1" ht="15.75" customHeight="1" x14ac:dyDescent="0.2">
      <c r="B8" s="247" t="s">
        <v>179</v>
      </c>
      <c r="C8" s="246" t="e">
        <f>+Instruções!#REF!</f>
        <v>#REF!</v>
      </c>
      <c r="D8" s="246">
        <f>+Instruções!E$15</f>
        <v>2024</v>
      </c>
      <c r="E8" s="246">
        <f>+Instruções!F$15</f>
        <v>2025</v>
      </c>
      <c r="F8" s="246">
        <f>+Instruções!G$15</f>
        <v>2026</v>
      </c>
      <c r="G8" s="246">
        <f>+Instruções!H$15</f>
        <v>2027</v>
      </c>
      <c r="I8" s="8"/>
    </row>
    <row r="9" spans="1:9" s="6" customFormat="1" ht="3" customHeight="1" x14ac:dyDescent="0.2">
      <c r="B9" s="286"/>
      <c r="C9" s="287"/>
      <c r="D9" s="287"/>
      <c r="E9" s="287"/>
      <c r="F9" s="287"/>
      <c r="G9" s="287"/>
      <c r="I9" s="8"/>
    </row>
    <row r="10" spans="1:9" s="6" customFormat="1" ht="12" customHeight="1" x14ac:dyDescent="0.2">
      <c r="B10" s="288" t="s">
        <v>254</v>
      </c>
      <c r="C10" s="68">
        <f>+Ativo_2023/$G$7</f>
        <v>0</v>
      </c>
      <c r="D10" s="68">
        <f>+Ativo_2024/$G$7</f>
        <v>0</v>
      </c>
      <c r="E10" s="68">
        <f>+Ativo_2025/$G$7</f>
        <v>0</v>
      </c>
      <c r="F10" s="68">
        <f>+Ativo_2026/$G$7</f>
        <v>0</v>
      </c>
      <c r="G10" s="289">
        <f>+Ativo_2027/$G$7</f>
        <v>0</v>
      </c>
      <c r="H10" s="131"/>
      <c r="I10" s="8"/>
    </row>
    <row r="11" spans="1:9" s="6" customFormat="1" ht="12" customHeight="1" x14ac:dyDescent="0.2">
      <c r="B11" s="226" t="s">
        <v>255</v>
      </c>
      <c r="C11" s="68">
        <f>+Ativo_Não_Corrente_2023/$G$7</f>
        <v>0</v>
      </c>
      <c r="D11" s="68">
        <f>+Ativo_Não_Corrente_2024/$G$7</f>
        <v>0</v>
      </c>
      <c r="E11" s="68">
        <f>+Ativo_Não_Corrente_2025/$G$7</f>
        <v>0</v>
      </c>
      <c r="F11" s="68">
        <f>+Ativo_Não_Corrente_2026/$G$7</f>
        <v>0</v>
      </c>
      <c r="G11" s="289">
        <f>+Ativo_Não_Corrente_2027/$G$7</f>
        <v>0</v>
      </c>
      <c r="H11" s="131"/>
      <c r="I11" s="8"/>
    </row>
    <row r="12" spans="1:9" s="6" customFormat="1" ht="12" customHeight="1" x14ac:dyDescent="0.2">
      <c r="B12" s="226" t="s">
        <v>256</v>
      </c>
      <c r="C12" s="68">
        <f>+Ativo_Corrente_2023/$G$7</f>
        <v>0</v>
      </c>
      <c r="D12" s="68">
        <f>+Ativo_Corrente_2024/$G$7</f>
        <v>0</v>
      </c>
      <c r="E12" s="68">
        <f>+Ativo_Corrente_2025/$G$7</f>
        <v>0</v>
      </c>
      <c r="F12" s="68">
        <f>+Ativo_Corrente_2026/$G$7</f>
        <v>0</v>
      </c>
      <c r="G12" s="289">
        <f>+Ativo_Corrente_2027/$G$7</f>
        <v>0</v>
      </c>
      <c r="H12" s="131"/>
      <c r="I12" s="8"/>
    </row>
    <row r="13" spans="1:9" s="6" customFormat="1" ht="3.75" customHeight="1" x14ac:dyDescent="0.2">
      <c r="B13" s="260"/>
      <c r="C13" s="290"/>
      <c r="D13" s="290"/>
      <c r="E13" s="290"/>
      <c r="F13" s="290"/>
      <c r="G13" s="291"/>
      <c r="H13" s="131"/>
      <c r="I13" s="8"/>
    </row>
    <row r="14" spans="1:9" s="6" customFormat="1" ht="12" customHeight="1" x14ac:dyDescent="0.2">
      <c r="B14" s="21" t="s">
        <v>257</v>
      </c>
      <c r="C14" s="68">
        <f>+Patrimonio_Liquido_2023/$G$7</f>
        <v>0</v>
      </c>
      <c r="D14" s="68">
        <f>+Patrimonio_Liquido_2024/$G$7</f>
        <v>0</v>
      </c>
      <c r="E14" s="68">
        <f>+Patrimonio_Liquido_2025/$G$7</f>
        <v>0</v>
      </c>
      <c r="F14" s="68">
        <f>+Patrimonio_Liquido_2026/$G$7</f>
        <v>0</v>
      </c>
      <c r="G14" s="289">
        <f>+Patrimonio_Liquido_2027/$G$7</f>
        <v>0</v>
      </c>
      <c r="H14" s="131"/>
      <c r="I14" s="8"/>
    </row>
    <row r="15" spans="1:9" s="6" customFormat="1" ht="12" customHeight="1" x14ac:dyDescent="0.2">
      <c r="B15" s="226" t="s">
        <v>337</v>
      </c>
      <c r="C15" s="68">
        <f>+BAL!D$48/$G$7</f>
        <v>0</v>
      </c>
      <c r="D15" s="68">
        <f>+BAL!F$48/$G$7</f>
        <v>0</v>
      </c>
      <c r="E15" s="68">
        <f>+BAL!J$48/$G$7</f>
        <v>0</v>
      </c>
      <c r="F15" s="68">
        <f>+BAL!K$48/$G$7</f>
        <v>0</v>
      </c>
      <c r="G15" s="289">
        <f>+BAL!L$48/$G$7</f>
        <v>0</v>
      </c>
      <c r="H15" s="131"/>
      <c r="I15" s="8"/>
    </row>
    <row r="16" spans="1:9" s="6" customFormat="1" ht="12" customHeight="1" x14ac:dyDescent="0.2">
      <c r="B16" s="21" t="s">
        <v>258</v>
      </c>
      <c r="C16" s="68">
        <f>+Passivo_2023/$G$7</f>
        <v>0</v>
      </c>
      <c r="D16" s="68">
        <f>+Passivo_2024/$G$7</f>
        <v>0</v>
      </c>
      <c r="E16" s="68">
        <f>+Passivo_2025/$G$7</f>
        <v>0</v>
      </c>
      <c r="F16" s="68">
        <f>+Passivo_2026/$G$7</f>
        <v>0</v>
      </c>
      <c r="G16" s="289">
        <f>+Passivo_2027/$G$7</f>
        <v>0</v>
      </c>
      <c r="H16" s="131"/>
      <c r="I16" s="8"/>
    </row>
    <row r="17" spans="2:9" s="6" customFormat="1" ht="12" customHeight="1" x14ac:dyDescent="0.2">
      <c r="B17" s="226" t="s">
        <v>255</v>
      </c>
      <c r="C17" s="68">
        <f>+Passivo_Não_Corrente_2023/$G$7</f>
        <v>0</v>
      </c>
      <c r="D17" s="68">
        <f>+Passivo_Não_Corrente_2024/$G$7</f>
        <v>0</v>
      </c>
      <c r="E17" s="68">
        <f>+Passivo_Não_Corrente_2025/$G$7</f>
        <v>0</v>
      </c>
      <c r="F17" s="68">
        <f>+Passivo_Não_Corrente_2026/$G$7</f>
        <v>0</v>
      </c>
      <c r="G17" s="289">
        <f>+Passivo_Não_Corrente_2027/$G$7</f>
        <v>0</v>
      </c>
      <c r="I17" s="8"/>
    </row>
    <row r="18" spans="2:9" s="6" customFormat="1" ht="12" customHeight="1" x14ac:dyDescent="0.2">
      <c r="B18" s="226" t="s">
        <v>256</v>
      </c>
      <c r="C18" s="68">
        <f>+Passivo_Corrente_2023/$G$7</f>
        <v>0</v>
      </c>
      <c r="D18" s="68">
        <f>+Passivo_Corrente_2024/$G$7</f>
        <v>0</v>
      </c>
      <c r="E18" s="68">
        <f>+Passivo_Corrente_2025/$G$7</f>
        <v>0</v>
      </c>
      <c r="F18" s="68">
        <f>+Passivo_Corrente_2026/$G$7</f>
        <v>0</v>
      </c>
      <c r="G18" s="289">
        <f>+Passivo_Corrente_2027/$G$7</f>
        <v>0</v>
      </c>
      <c r="I18" s="8"/>
    </row>
    <row r="19" spans="2:9" s="6" customFormat="1" ht="10.199999999999999" x14ac:dyDescent="0.2">
      <c r="B19" s="237"/>
      <c r="C19" s="238"/>
      <c r="D19" s="238"/>
      <c r="E19" s="238"/>
      <c r="F19" s="238"/>
      <c r="G19" s="238"/>
      <c r="I19" s="8"/>
    </row>
    <row r="20" spans="2:9" s="6" customFormat="1" ht="15.75" customHeight="1" x14ac:dyDescent="0.2">
      <c r="B20" s="247" t="s">
        <v>277</v>
      </c>
      <c r="C20" s="246" t="e">
        <f>+Instruções!#REF!</f>
        <v>#REF!</v>
      </c>
      <c r="D20" s="246">
        <f>+Instruções!E$15</f>
        <v>2024</v>
      </c>
      <c r="E20" s="246">
        <f>+Instruções!F$15</f>
        <v>2025</v>
      </c>
      <c r="F20" s="246">
        <f>+Instruções!G$15</f>
        <v>2026</v>
      </c>
      <c r="G20" s="246">
        <f>+Instruções!H$15</f>
        <v>2027</v>
      </c>
      <c r="I20" s="8"/>
    </row>
    <row r="21" spans="2:9" s="6" customFormat="1" ht="3" customHeight="1" x14ac:dyDescent="0.2">
      <c r="B21" s="286"/>
      <c r="C21" s="287"/>
      <c r="D21" s="287"/>
      <c r="E21" s="287"/>
      <c r="F21" s="287"/>
      <c r="G21" s="287"/>
      <c r="I21" s="8"/>
    </row>
    <row r="22" spans="2:9" s="6" customFormat="1" ht="12" customHeight="1" x14ac:dyDescent="0.2">
      <c r="B22" s="288" t="s">
        <v>275</v>
      </c>
      <c r="C22" s="292" t="str">
        <f>IFERROR('Eficiência operacional'!C21/$G$7,"")</f>
        <v/>
      </c>
      <c r="D22" s="292" t="str">
        <f>IFERROR('Eficiência operacional'!E21/$G$7,"")</f>
        <v/>
      </c>
      <c r="E22" s="292" t="str">
        <f>IFERROR('Eficiência operacional'!F21/$G$7,"")</f>
        <v/>
      </c>
      <c r="F22" s="292" t="str">
        <f>IFERROR('Eficiência operacional'!G21/$G$7,"")</f>
        <v/>
      </c>
      <c r="G22" s="293" t="str">
        <f>IFERROR('Eficiência operacional'!H21/$G$7,"")</f>
        <v/>
      </c>
      <c r="I22" s="8"/>
    </row>
    <row r="23" spans="2:9" s="6" customFormat="1" ht="12" customHeight="1" x14ac:dyDescent="0.2">
      <c r="B23" s="261" t="s">
        <v>280</v>
      </c>
      <c r="C23" s="262" t="str">
        <f>+IFERROR(C22/B22-1,"")</f>
        <v/>
      </c>
      <c r="D23" s="262" t="str">
        <f>+IFERROR(D22/C22-1,"")</f>
        <v/>
      </c>
      <c r="E23" s="262" t="str">
        <f t="shared" ref="E23:G23" si="0">+IFERROR(E22/D22-1,"")</f>
        <v/>
      </c>
      <c r="F23" s="262" t="str">
        <f t="shared" si="0"/>
        <v/>
      </c>
      <c r="G23" s="284" t="str">
        <f t="shared" si="0"/>
        <v/>
      </c>
      <c r="I23" s="8"/>
    </row>
    <row r="24" spans="2:9" s="6" customFormat="1" ht="12" customHeight="1" x14ac:dyDescent="0.2">
      <c r="B24" s="21" t="s">
        <v>276</v>
      </c>
      <c r="C24" s="68" t="str">
        <f>IFERROR('Eficiência operacional'!C10/$G$7,"")</f>
        <v/>
      </c>
      <c r="D24" s="68" t="str">
        <f>IFERROR('Eficiência operacional'!E10/$G$7,"")</f>
        <v/>
      </c>
      <c r="E24" s="68" t="str">
        <f>IFERROR('Eficiência operacional'!F10/$G$7,"")</f>
        <v/>
      </c>
      <c r="F24" s="68" t="str">
        <f>IFERROR('Eficiência operacional'!G10/$G$7,"")</f>
        <v/>
      </c>
      <c r="G24" s="289" t="str">
        <f>IFERROR('Eficiência operacional'!H10/$G$7,"")</f>
        <v/>
      </c>
      <c r="I24" s="8"/>
    </row>
    <row r="25" spans="2:9" s="6" customFormat="1" ht="12" customHeight="1" x14ac:dyDescent="0.2">
      <c r="B25" s="261" t="s">
        <v>280</v>
      </c>
      <c r="C25" s="262" t="str">
        <f>+IFERROR(C24/B24-1,"")</f>
        <v/>
      </c>
      <c r="D25" s="262" t="str">
        <f>+IFERROR(D24/C24-1,"")</f>
        <v/>
      </c>
      <c r="E25" s="262" t="str">
        <f t="shared" ref="E25" si="1">+IFERROR(E24/D24-1,"")</f>
        <v/>
      </c>
      <c r="F25" s="262" t="str">
        <f t="shared" ref="F25" si="2">+IFERROR(F24/E24-1,"")</f>
        <v/>
      </c>
      <c r="G25" s="284" t="str">
        <f t="shared" ref="G25" si="3">+IFERROR(G24/F24-1,"")</f>
        <v/>
      </c>
      <c r="I25" s="8"/>
    </row>
    <row r="26" spans="2:9" s="6" customFormat="1" ht="12" customHeight="1" x14ac:dyDescent="0.2">
      <c r="B26" s="21" t="s">
        <v>8</v>
      </c>
      <c r="C26" s="68" t="str">
        <f>IFERROR('Eficiência operacional'!C9/$G$7,"")</f>
        <v/>
      </c>
      <c r="D26" s="68" t="str">
        <f>IFERROR('Eficiência operacional'!E9/$G$7,"")</f>
        <v/>
      </c>
      <c r="E26" s="68" t="str">
        <f>IFERROR('Eficiência operacional'!F9/$G$7,"")</f>
        <v/>
      </c>
      <c r="F26" s="68" t="str">
        <f>IFERROR('Eficiência operacional'!G9/$G$7,"")</f>
        <v/>
      </c>
      <c r="G26" s="289" t="str">
        <f>IFERROR('Eficiência operacional'!H9/$G$7,"")</f>
        <v/>
      </c>
      <c r="I26" s="8"/>
    </row>
    <row r="27" spans="2:9" s="6" customFormat="1" ht="12" customHeight="1" x14ac:dyDescent="0.2">
      <c r="B27" s="261" t="s">
        <v>280</v>
      </c>
      <c r="C27" s="262" t="str">
        <f>+IFERROR(C26/B26-1,"")</f>
        <v/>
      </c>
      <c r="D27" s="262" t="str">
        <f>+IFERROR(D26/C26-1,"")</f>
        <v/>
      </c>
      <c r="E27" s="262" t="str">
        <f t="shared" ref="E27" si="4">+IFERROR(E26/D26-1,"")</f>
        <v/>
      </c>
      <c r="F27" s="262" t="str">
        <f t="shared" ref="F27" si="5">+IFERROR(F26/E26-1,"")</f>
        <v/>
      </c>
      <c r="G27" s="284" t="str">
        <f t="shared" ref="G27" si="6">+IFERROR(G26/F26-1,"")</f>
        <v/>
      </c>
      <c r="I27" s="8"/>
    </row>
    <row r="28" spans="2:9" s="6" customFormat="1" ht="12" customHeight="1" x14ac:dyDescent="0.2">
      <c r="B28" s="21" t="s">
        <v>259</v>
      </c>
      <c r="C28" s="68" t="str">
        <f>IFERROR(EBITDA_2023/$G$7,"")</f>
        <v/>
      </c>
      <c r="D28" s="68" t="str">
        <f>IFERROR(EBITDA_2024/$G$7,"")</f>
        <v/>
      </c>
      <c r="E28" s="68" t="str">
        <f>IFERROR(EBITDA_2025/$G$7,"")</f>
        <v/>
      </c>
      <c r="F28" s="68" t="str">
        <f>IFERROR(EBITDA_2026/$G$7,"")</f>
        <v/>
      </c>
      <c r="G28" s="289" t="str">
        <f>IFERROR(EBITDA_2027/$G$7,"")</f>
        <v/>
      </c>
      <c r="I28" s="8"/>
    </row>
    <row r="29" spans="2:9" s="6" customFormat="1" ht="12" customHeight="1" x14ac:dyDescent="0.2">
      <c r="B29" s="261" t="s">
        <v>280</v>
      </c>
      <c r="C29" s="262" t="str">
        <f>+IFERROR(C28/B28-1,"")</f>
        <v/>
      </c>
      <c r="D29" s="262" t="str">
        <f>+IFERROR(D28/C28-1,"")</f>
        <v/>
      </c>
      <c r="E29" s="262" t="str">
        <f t="shared" ref="E29" si="7">+IFERROR(E28/D28-1,"")</f>
        <v/>
      </c>
      <c r="F29" s="262" t="str">
        <f t="shared" ref="F29" si="8">+IFERROR(F28/E28-1,"")</f>
        <v/>
      </c>
      <c r="G29" s="284" t="str">
        <f t="shared" ref="G29" si="9">+IFERROR(G28/F28-1,"")</f>
        <v/>
      </c>
      <c r="I29" s="8"/>
    </row>
    <row r="30" spans="2:9" s="6" customFormat="1" ht="12" customHeight="1" x14ac:dyDescent="0.2">
      <c r="B30" s="21" t="s">
        <v>260</v>
      </c>
      <c r="C30" s="68" t="str">
        <f>IFERROR(RO_2023/$G$7,"")</f>
        <v/>
      </c>
      <c r="D30" s="68" t="str">
        <f>IFERROR(RO_2024/$G$7,"")</f>
        <v/>
      </c>
      <c r="E30" s="68" t="str">
        <f>IFERROR(RO_2025/$G$7,"")</f>
        <v/>
      </c>
      <c r="F30" s="68" t="str">
        <f>IFERROR(RO_2026/$G$7,"")</f>
        <v/>
      </c>
      <c r="G30" s="289" t="str">
        <f>IFERROR(RO_2027/$G$7,"")</f>
        <v/>
      </c>
      <c r="I30" s="8"/>
    </row>
    <row r="31" spans="2:9" s="6" customFormat="1" ht="12" customHeight="1" x14ac:dyDescent="0.2">
      <c r="B31" s="261" t="s">
        <v>280</v>
      </c>
      <c r="C31" s="262" t="str">
        <f>+IFERROR(C30/B30-1,"")</f>
        <v/>
      </c>
      <c r="D31" s="262" t="str">
        <f>+IFERROR(D30/C30-1,"")</f>
        <v/>
      </c>
      <c r="E31" s="262" t="str">
        <f t="shared" ref="E31" si="10">+IFERROR(E30/D30-1,"")</f>
        <v/>
      </c>
      <c r="F31" s="262" t="str">
        <f t="shared" ref="F31" si="11">+IFERROR(F30/E30-1,"")</f>
        <v/>
      </c>
      <c r="G31" s="284" t="str">
        <f t="shared" ref="G31" si="12">+IFERROR(G30/F30-1,"")</f>
        <v/>
      </c>
      <c r="I31" s="8"/>
    </row>
    <row r="32" spans="2:9" s="6" customFormat="1" ht="12" customHeight="1" x14ac:dyDescent="0.2">
      <c r="B32" s="21" t="s">
        <v>274</v>
      </c>
      <c r="C32" s="68">
        <f>IFERROR(RL_2023/$G$7,"")</f>
        <v>0</v>
      </c>
      <c r="D32" s="68">
        <f>IFERROR(RL_2024/$G$7,"")</f>
        <v>0</v>
      </c>
      <c r="E32" s="68">
        <f>IFERROR(RL_2025/$G$7,"")</f>
        <v>0</v>
      </c>
      <c r="F32" s="68">
        <f>IFERROR(RL_2026/$G$7,"")</f>
        <v>0</v>
      </c>
      <c r="G32" s="289">
        <f>IFERROR(RL_2027/$G$7,"")</f>
        <v>0</v>
      </c>
      <c r="I32" s="8"/>
    </row>
    <row r="33" spans="2:9" s="6" customFormat="1" ht="12" customHeight="1" x14ac:dyDescent="0.2">
      <c r="B33" s="261" t="s">
        <v>280</v>
      </c>
      <c r="C33" s="262" t="str">
        <f>+IFERROR(C32/B32-1,"")</f>
        <v/>
      </c>
      <c r="D33" s="262" t="str">
        <f>+IFERROR(D32/C32-1,"")</f>
        <v/>
      </c>
      <c r="E33" s="262" t="str">
        <f t="shared" ref="E33" si="13">+IFERROR(E32/D32-1,"")</f>
        <v/>
      </c>
      <c r="F33" s="262" t="str">
        <f t="shared" ref="F33" si="14">+IFERROR(F32/E32-1,"")</f>
        <v/>
      </c>
      <c r="G33" s="284" t="str">
        <f t="shared" ref="G33" si="15">+IFERROR(G32/F32-1,"")</f>
        <v/>
      </c>
      <c r="I33" s="8"/>
    </row>
    <row r="34" spans="2:9" s="6" customFormat="1" ht="10.199999999999999" x14ac:dyDescent="0.2">
      <c r="C34" s="219"/>
      <c r="D34" s="219"/>
      <c r="E34" s="219"/>
      <c r="F34" s="219"/>
      <c r="G34" s="219"/>
      <c r="I34" s="8"/>
    </row>
    <row r="35" spans="2:9" s="6" customFormat="1" ht="15.75" customHeight="1" x14ac:dyDescent="0.2">
      <c r="B35" s="247" t="s">
        <v>146</v>
      </c>
      <c r="C35" s="246"/>
      <c r="D35" s="246">
        <f>+Instruções!E$15</f>
        <v>2024</v>
      </c>
      <c r="E35" s="246">
        <f>+Instruções!F$15</f>
        <v>2025</v>
      </c>
      <c r="F35" s="246">
        <f>+Instruções!G$15</f>
        <v>2026</v>
      </c>
      <c r="G35" s="246">
        <f>+Instruções!H$15</f>
        <v>2027</v>
      </c>
      <c r="I35" s="8"/>
    </row>
    <row r="36" spans="2:9" s="6" customFormat="1" ht="3" customHeight="1" x14ac:dyDescent="0.2">
      <c r="B36" s="286"/>
      <c r="C36" s="287"/>
      <c r="D36" s="287"/>
      <c r="E36" s="287"/>
      <c r="F36" s="287"/>
      <c r="G36" s="287"/>
      <c r="I36" s="8"/>
    </row>
    <row r="37" spans="2:9" s="6" customFormat="1" ht="10.199999999999999" x14ac:dyDescent="0.2">
      <c r="B37" s="21" t="s">
        <v>265</v>
      </c>
      <c r="C37" s="68"/>
      <c r="D37" s="68" t="str">
        <f>+IFERROR(E_Oper_2024,"")</f>
        <v/>
      </c>
      <c r="E37" s="68" t="str">
        <f>+IFERROR(E_Oper_2025,"")</f>
        <v/>
      </c>
      <c r="F37" s="68" t="str">
        <f>+IFERROR(E_Oper_2026,"")</f>
        <v/>
      </c>
      <c r="G37" s="289" t="str">
        <f>+IFERROR(E_Oper_2027,"")</f>
        <v/>
      </c>
      <c r="I37" s="8"/>
    </row>
    <row r="38" spans="2:9" s="6" customFormat="1" ht="10.199999999999999" x14ac:dyDescent="0.2">
      <c r="C38" s="219"/>
      <c r="D38" s="219"/>
      <c r="E38" s="219"/>
      <c r="F38" s="219"/>
      <c r="G38" s="219"/>
      <c r="I38" s="8"/>
    </row>
    <row r="39" spans="2:9" ht="16.8" x14ac:dyDescent="0.2">
      <c r="B39" s="282" t="str">
        <f>"Conformidade com proposta de Orçamento de Estado para "&amp;Instruções!C10+1</f>
        <v>Conformidade com proposta de Orçamento de Estado para 2025</v>
      </c>
      <c r="C39" s="282"/>
      <c r="D39" s="282"/>
      <c r="E39" s="282"/>
      <c r="F39" s="282"/>
      <c r="G39" s="282"/>
      <c r="H39" s="283"/>
    </row>
    <row r="40" spans="2:9" ht="12.6" x14ac:dyDescent="0.2">
      <c r="B40" s="131"/>
      <c r="C40" s="131"/>
      <c r="D40" s="131"/>
      <c r="E40" s="131"/>
      <c r="F40" s="131"/>
      <c r="G40" s="131"/>
      <c r="H40" s="131"/>
    </row>
    <row r="41" spans="2:9" ht="24" customHeight="1" x14ac:dyDescent="0.2">
      <c r="B41" s="233" t="s">
        <v>0</v>
      </c>
      <c r="C41" s="214" t="str">
        <f>"PAO "&amp;Instruções!C10+1&amp;" (Conforme DFC)"</f>
        <v>PAO 2025 (Conforme DFC)</v>
      </c>
      <c r="D41" s="214" t="str">
        <f>"OE "&amp;Instruções!C10+1</f>
        <v>OE 2025</v>
      </c>
      <c r="E41" s="312" t="s">
        <v>316</v>
      </c>
      <c r="F41" s="213"/>
      <c r="G41" s="213"/>
      <c r="H41" s="62"/>
    </row>
    <row r="42" spans="2:9" ht="12.6" x14ac:dyDescent="0.2">
      <c r="B42" s="234" t="s">
        <v>9</v>
      </c>
      <c r="C42" s="380">
        <f>DFC!J13</f>
        <v>0</v>
      </c>
      <c r="D42" s="215"/>
      <c r="E42" s="387" t="str">
        <f>IF(D42="","",IF(D42&gt;=C42,1,IF(D42&lt;C42,-1,0)))</f>
        <v/>
      </c>
      <c r="F42" s="131"/>
      <c r="G42" s="131"/>
      <c r="H42" s="131"/>
    </row>
    <row r="43" spans="2:9" ht="12.6" x14ac:dyDescent="0.2">
      <c r="B43" s="234" t="s">
        <v>338</v>
      </c>
      <c r="C43" s="381">
        <f>DFC!J12</f>
        <v>0</v>
      </c>
      <c r="D43" s="215"/>
      <c r="E43" s="117" t="str">
        <f>IF(D43="","",IF(D43&gt;=C43,1,IF(D43&lt;C43,-1,0)))</f>
        <v/>
      </c>
    </row>
    <row r="44" spans="2:9" ht="12.6" x14ac:dyDescent="0.2">
      <c r="B44" s="234" t="s">
        <v>235</v>
      </c>
      <c r="C44" s="381">
        <f>SUM(DFC!J20:J24)</f>
        <v>0</v>
      </c>
      <c r="D44" s="215"/>
      <c r="E44" s="117" t="str">
        <f>IF(D44="","",IF(D44&gt;=C44,1,IF(D44&lt;C44,-1,0)))</f>
        <v/>
      </c>
    </row>
    <row r="45" spans="2:9" ht="12.6" x14ac:dyDescent="0.2">
      <c r="B45" s="235" t="s">
        <v>236</v>
      </c>
      <c r="C45" s="382">
        <f>SUM(DFC!J12:J13)+IF(DFC!J15&lt;0,ABS(DFC!J15),0)+SUM(DFC!J20:J24)+SUM(DFC!J45:J49)</f>
        <v>0</v>
      </c>
      <c r="D45" s="216"/>
      <c r="E45" s="388" t="str">
        <f>IF(D45="","",IF(D45&gt;=C45,1,IF(D45&lt;C45,-1,0)))</f>
        <v/>
      </c>
    </row>
    <row r="46" spans="2:9" ht="12.6" x14ac:dyDescent="0.2">
      <c r="B46" s="217"/>
      <c r="C46" s="383"/>
      <c r="D46" s="217"/>
    </row>
    <row r="47" spans="2:9" ht="12.6" x14ac:dyDescent="0.2">
      <c r="B47" s="217"/>
      <c r="C47" s="217"/>
      <c r="D47" s="217"/>
    </row>
    <row r="48" spans="2:9" ht="12.6" x14ac:dyDescent="0.2"/>
    <row r="49" spans="2:8" ht="16.8" x14ac:dyDescent="0.2">
      <c r="B49" s="281" t="s">
        <v>178</v>
      </c>
      <c r="C49" s="281"/>
      <c r="D49" s="281"/>
      <c r="E49" s="281"/>
      <c r="F49" s="281"/>
      <c r="G49" s="281"/>
      <c r="H49" s="283"/>
    </row>
    <row r="50" spans="2:8" ht="12.6" x14ac:dyDescent="0.2"/>
    <row r="51" spans="2:8" s="217" customFormat="1" ht="12.6" x14ac:dyDescent="0.2"/>
    <row r="52" spans="2:8" s="217" customFormat="1" ht="12.6" x14ac:dyDescent="0.2">
      <c r="B52" s="236" t="s">
        <v>237</v>
      </c>
    </row>
    <row r="53" spans="2:8" s="217" customFormat="1" ht="2.25" customHeight="1" x14ac:dyDescent="0.2"/>
    <row r="54" spans="2:8" s="217" customFormat="1" ht="12.6" x14ac:dyDescent="0.2">
      <c r="B54" s="247"/>
      <c r="C54" s="246" t="s">
        <v>238</v>
      </c>
    </row>
    <row r="55" spans="2:8" s="217" customFormat="1" ht="18.75" customHeight="1" x14ac:dyDescent="0.2">
      <c r="B55" s="239" t="s">
        <v>277</v>
      </c>
      <c r="C55" s="257" t="str">
        <f>+IF(SUM(DR!A6:A45)&lt;&gt;0,"Sim","-")</f>
        <v>-</v>
      </c>
    </row>
    <row r="56" spans="2:8" s="217" customFormat="1" ht="18.75" customHeight="1" x14ac:dyDescent="0.2">
      <c r="B56" s="239" t="s">
        <v>179</v>
      </c>
      <c r="C56" s="257" t="str">
        <f>+IF(SUM(BAL!A6:A87)&lt;&gt;0,"Sim","-")</f>
        <v>-</v>
      </c>
    </row>
    <row r="57" spans="2:8" s="217" customFormat="1" ht="18.75" customHeight="1" x14ac:dyDescent="0.2">
      <c r="B57" s="239" t="s">
        <v>239</v>
      </c>
      <c r="C57" s="257" t="str">
        <f>+IF(SUM(DFC!A7:A57)&lt;&gt;0,"Sim","-")</f>
        <v>-</v>
      </c>
    </row>
    <row r="58" spans="2:8" s="217" customFormat="1" ht="18.75" customHeight="1" x14ac:dyDescent="0.2">
      <c r="B58" s="239" t="s">
        <v>235</v>
      </c>
      <c r="C58" s="257" t="str">
        <f>+IF(SUM(Investimentos!A5:A36)&lt;&gt;0,"Sim","-")</f>
        <v>-</v>
      </c>
    </row>
    <row r="59" spans="2:8" s="222" customFormat="1" ht="9.75" customHeight="1" x14ac:dyDescent="0.2">
      <c r="B59" s="231"/>
      <c r="C59" s="258"/>
    </row>
    <row r="60" spans="2:8" s="217" customFormat="1" ht="12.6" x14ac:dyDescent="0.2">
      <c r="B60" s="449"/>
      <c r="C60" s="449"/>
      <c r="D60" s="449"/>
      <c r="E60" s="449"/>
      <c r="F60" s="449"/>
      <c r="G60" s="449"/>
    </row>
    <row r="61" spans="2:8" s="217" customFormat="1" ht="12.6" x14ac:dyDescent="0.2"/>
    <row r="62" spans="2:8" s="217" customFormat="1" ht="12.6" x14ac:dyDescent="0.2"/>
    <row r="63" spans="2:8" s="217" customFormat="1" ht="12.6" x14ac:dyDescent="0.2"/>
    <row r="64" spans="2:8" ht="12.6" x14ac:dyDescent="0.2"/>
    <row r="65" spans="2:7" ht="12.6" hidden="1" x14ac:dyDescent="0.2"/>
    <row r="66" spans="2:7" ht="12.6" hidden="1" x14ac:dyDescent="0.2"/>
    <row r="67" spans="2:7" ht="12.6" hidden="1" x14ac:dyDescent="0.2"/>
    <row r="68" spans="2:7" ht="12.6" hidden="1" x14ac:dyDescent="0.2"/>
    <row r="69" spans="2:7" ht="12.6" hidden="1" x14ac:dyDescent="0.2"/>
    <row r="70" spans="2:7" ht="12.6" hidden="1" x14ac:dyDescent="0.2"/>
    <row r="71" spans="2:7" ht="12.6" hidden="1" x14ac:dyDescent="0.2"/>
    <row r="72" spans="2:7" ht="12.6" hidden="1" x14ac:dyDescent="0.2"/>
    <row r="73" spans="2:7" ht="12.6" hidden="1" x14ac:dyDescent="0.2">
      <c r="B73" s="448"/>
      <c r="C73" s="448"/>
      <c r="D73" s="448"/>
      <c r="E73" s="448"/>
      <c r="F73" s="448"/>
      <c r="G73" s="448"/>
    </row>
    <row r="74" spans="2:7" ht="12.6" hidden="1" x14ac:dyDescent="0.2"/>
    <row r="75" spans="2:7" ht="12.6" hidden="1" x14ac:dyDescent="0.2"/>
    <row r="76" spans="2:7" ht="12.6" hidden="1" x14ac:dyDescent="0.2"/>
    <row r="77" spans="2:7" ht="12.6" hidden="1" x14ac:dyDescent="0.2"/>
    <row r="78" spans="2:7" ht="12.6" hidden="1" x14ac:dyDescent="0.2"/>
    <row r="79" spans="2:7" ht="12.6" hidden="1" x14ac:dyDescent="0.2"/>
    <row r="80" spans="2:7" ht="12.6" hidden="1" x14ac:dyDescent="0.2"/>
    <row r="81" spans="2:7" ht="12.6" hidden="1" x14ac:dyDescent="0.2"/>
    <row r="82" spans="2:7" ht="12.6" hidden="1" x14ac:dyDescent="0.2"/>
    <row r="83" spans="2:7" ht="12.6" hidden="1" x14ac:dyDescent="0.2"/>
    <row r="84" spans="2:7" ht="12.6" hidden="1" x14ac:dyDescent="0.2"/>
    <row r="85" spans="2:7" ht="12.6" hidden="1" x14ac:dyDescent="0.2"/>
    <row r="86" spans="2:7" ht="12.6" hidden="1" x14ac:dyDescent="0.2"/>
    <row r="87" spans="2:7" ht="12.6" hidden="1" x14ac:dyDescent="0.2"/>
    <row r="88" spans="2:7" ht="12.6" hidden="1" x14ac:dyDescent="0.2"/>
    <row r="89" spans="2:7" ht="12.6" hidden="1" x14ac:dyDescent="0.2">
      <c r="B89" s="143"/>
      <c r="C89" s="143"/>
      <c r="D89" s="143"/>
      <c r="E89" s="143"/>
      <c r="F89" s="143"/>
      <c r="G89" s="143"/>
    </row>
    <row r="90" spans="2:7" ht="12.6" hidden="1" x14ac:dyDescent="0.2"/>
    <row r="91" spans="2:7" s="150" customFormat="1" ht="12.6" hidden="1" x14ac:dyDescent="0.2"/>
    <row r="92" spans="2:7" ht="12.6" hidden="1" x14ac:dyDescent="0.2"/>
    <row r="97" ht="12.75" customHeight="1" x14ac:dyDescent="0.2"/>
    <row r="98" ht="12.75" customHeight="1" x14ac:dyDescent="0.2"/>
    <row r="99" ht="12.75" customHeight="1" x14ac:dyDescent="0.2"/>
    <row r="105" ht="12.75" customHeight="1" x14ac:dyDescent="0.2"/>
  </sheetData>
  <sheetProtection sheet="1" selectLockedCells="1"/>
  <mergeCells count="2">
    <mergeCell ref="B60:G60"/>
    <mergeCell ref="B73:G73"/>
  </mergeCells>
  <conditionalFormatting sqref="C55:C58">
    <cfRule type="cellIs" dxfId="8" priority="5" operator="equal">
      <formula>"Sim"</formula>
    </cfRule>
  </conditionalFormatting>
  <conditionalFormatting sqref="E42">
    <cfRule type="iconSet" priority="4">
      <iconSet iconSet="3Symbols" showValue="0">
        <cfvo type="percent" val="0"/>
        <cfvo type="num" val="0"/>
        <cfvo type="num" val="0" gte="0"/>
      </iconSet>
    </cfRule>
  </conditionalFormatting>
  <conditionalFormatting sqref="E43">
    <cfRule type="iconSet" priority="3">
      <iconSet iconSet="3Symbols" showValue="0">
        <cfvo type="percent" val="0"/>
        <cfvo type="num" val="0"/>
        <cfvo type="num" val="0" gte="0"/>
      </iconSet>
    </cfRule>
  </conditionalFormatting>
  <conditionalFormatting sqref="E44">
    <cfRule type="iconSet" priority="2">
      <iconSet iconSet="3Symbols" showValue="0">
        <cfvo type="percent" val="0"/>
        <cfvo type="num" val="0"/>
        <cfvo type="num" val="0" gte="0"/>
      </iconSet>
    </cfRule>
  </conditionalFormatting>
  <conditionalFormatting sqref="E45">
    <cfRule type="iconSet" priority="1">
      <iconSet iconSet="3Symbols" showValue="0">
        <cfvo type="percent" val="0"/>
        <cfvo type="num" val="0"/>
        <cfvo type="num" val="0" gte="0"/>
      </iconSet>
    </cfRule>
  </conditionalFormatting>
  <pageMargins left="0.74803149606299213" right="0.74803149606299213" top="0.98425196850393704" bottom="0.98425196850393704" header="0.51181102362204722" footer="0.51181102362204722"/>
  <pageSetup scale="68" fitToHeight="2" orientation="portrait" horizontalDpi="1200" verticalDpi="1200" r:id="rId1"/>
  <headerFooter alignWithMargins="0"/>
  <ignoredErrors>
    <ignoredError sqref="C42:C45" unlockedFormula="1"/>
    <ignoredError sqref="C24:G32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4">
    <tabColor theme="5" tint="0.59999389629810485"/>
  </sheetPr>
  <dimension ref="A1:M90"/>
  <sheetViews>
    <sheetView showGridLines="0" zoomScaleNormal="100" workbookViewId="0">
      <pane ySplit="6" topLeftCell="A7" activePane="bottomLeft" state="frozen"/>
      <selection pane="bottomLeft" activeCell="B7" sqref="B7"/>
    </sheetView>
  </sheetViews>
  <sheetFormatPr defaultColWidth="0" defaultRowHeight="14.4" zeroHeight="1" x14ac:dyDescent="0.3"/>
  <cols>
    <col min="1" max="1" width="4.109375" style="219" customWidth="1"/>
    <col min="2" max="2" width="48.88671875" bestFit="1" customWidth="1"/>
    <col min="3" max="3" width="8.5546875" customWidth="1"/>
    <col min="4" max="12" width="16" customWidth="1"/>
    <col min="13" max="13" width="6.33203125" customWidth="1"/>
    <col min="14" max="16384" width="9.109375" hidden="1"/>
  </cols>
  <sheetData>
    <row r="1" spans="1:13" ht="14.4" customHeight="1" x14ac:dyDescent="0.3">
      <c r="B1" s="452" t="str">
        <f>IF(Instruções!C7="","",Instruções!C7)</f>
        <v/>
      </c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323"/>
    </row>
    <row r="2" spans="1:13" ht="14.4" customHeight="1" x14ac:dyDescent="0.3">
      <c r="M2" s="323"/>
    </row>
    <row r="3" spans="1:13" ht="14.4" customHeight="1" x14ac:dyDescent="0.3">
      <c r="B3" s="24" t="s">
        <v>27</v>
      </c>
      <c r="C3" s="9"/>
      <c r="M3" s="323"/>
    </row>
    <row r="4" spans="1:13" ht="14.4" customHeight="1" x14ac:dyDescent="0.3">
      <c r="D4" s="97"/>
      <c r="E4" s="97"/>
      <c r="F4" s="97"/>
      <c r="G4" s="97"/>
      <c r="H4" s="97"/>
      <c r="I4" s="97"/>
      <c r="J4" s="97"/>
      <c r="K4" s="26" t="s">
        <v>147</v>
      </c>
      <c r="L4" s="25"/>
      <c r="M4" s="323"/>
    </row>
    <row r="5" spans="1:13" ht="15.75" customHeight="1" x14ac:dyDescent="0.3">
      <c r="B5" s="453" t="s">
        <v>28</v>
      </c>
      <c r="C5" s="454" t="s">
        <v>2</v>
      </c>
      <c r="D5" s="389">
        <f>IF(Instruções!C10="","",IF(ISERROR(Instruções!C10),"",Instruções!C10-1))</f>
        <v>2023</v>
      </c>
      <c r="E5" s="389">
        <f>IF(Instruções!$C$10="","",IF(ISERROR(Instruções!$C$10),"",Instruções!$C$10))</f>
        <v>2024</v>
      </c>
      <c r="F5" s="389">
        <f>IF(Instruções!$C$10="","",IF(ISERROR(Instruções!$C$10),"",Instruções!$C$10))</f>
        <v>2024</v>
      </c>
      <c r="G5" s="362" t="str">
        <f>IF(Instruções!$C$10="","",IF(ISERROR(Instruções!$C$10),"","1.ºT"&amp;Instruções!$C$10+1))</f>
        <v>1.ºT2025</v>
      </c>
      <c r="H5" s="362" t="str">
        <f>IF(Instruções!$C$10="","",IF(ISERROR(Instruções!$C$10),"","2.ºT"&amp;Instruções!$C$10+1))</f>
        <v>2.ºT2025</v>
      </c>
      <c r="I5" s="362" t="str">
        <f>IF(Instruções!$C$10="","",IF(ISERROR(Instruções!$C$10),"","3.ºT"&amp;Instruções!$C$10+1))</f>
        <v>3.ºT2025</v>
      </c>
      <c r="J5" s="362" t="str">
        <f>IF(Instruções!$C$10="","",IF(ISERROR(Instruções!$C$10),"","4.ºT"&amp;Instruções!$C$10+1))</f>
        <v>4.ºT2025</v>
      </c>
      <c r="K5" s="362">
        <f>IF(Instruções!C10="","",IF(ISERROR(Instruções!C10),"",Instruções!C10+2))</f>
        <v>2026</v>
      </c>
      <c r="L5" s="362">
        <f>IF(Instruções!C10="","",IF(ISERROR(Instruções!C10),"",Instruções!C10+3))</f>
        <v>2027</v>
      </c>
      <c r="M5" s="323"/>
    </row>
    <row r="6" spans="1:13" x14ac:dyDescent="0.3">
      <c r="B6" s="453"/>
      <c r="C6" s="454"/>
      <c r="D6" s="11" t="str">
        <f>IF(D5="","","Execução")</f>
        <v>Execução</v>
      </c>
      <c r="E6" s="11" t="str">
        <f>IF(D5="","","PAO")</f>
        <v>PAO</v>
      </c>
      <c r="F6" s="11" t="str">
        <f>IF(D5="","","Estimativa")</f>
        <v>Estimativa</v>
      </c>
      <c r="G6" s="47" t="str">
        <f t="shared" ref="G6:I6" si="0">IF($D$5="","","Previsão")</f>
        <v>Previsão</v>
      </c>
      <c r="H6" s="47" t="str">
        <f t="shared" si="0"/>
        <v>Previsão</v>
      </c>
      <c r="I6" s="47" t="str">
        <f t="shared" si="0"/>
        <v>Previsão</v>
      </c>
      <c r="J6" s="47" t="str">
        <f>IF(F5="","","Previsão")</f>
        <v>Previsão</v>
      </c>
      <c r="K6" s="47" t="str">
        <f>IF(J5="","","Previsão")</f>
        <v>Previsão</v>
      </c>
      <c r="L6" s="47" t="str">
        <f>IF(K5="","","Previsão")</f>
        <v>Previsão</v>
      </c>
      <c r="M6" s="323"/>
    </row>
    <row r="7" spans="1:13" ht="6.75" customHeight="1" x14ac:dyDescent="0.3">
      <c r="B7" s="63"/>
      <c r="C7" s="63"/>
      <c r="D7" s="412"/>
      <c r="E7" s="412"/>
      <c r="F7" s="412"/>
      <c r="G7" s="412"/>
      <c r="H7" s="412"/>
      <c r="I7" s="412"/>
      <c r="J7" s="412"/>
      <c r="K7" s="412"/>
      <c r="L7" s="412"/>
      <c r="M7" s="323"/>
    </row>
    <row r="8" spans="1:13" x14ac:dyDescent="0.3">
      <c r="B8" s="455" t="s">
        <v>29</v>
      </c>
      <c r="C8" s="456"/>
      <c r="D8" s="12"/>
      <c r="E8" s="12"/>
      <c r="F8" s="12"/>
      <c r="G8" s="12"/>
      <c r="H8" s="12"/>
      <c r="I8" s="12"/>
      <c r="J8" s="12"/>
      <c r="K8" s="12"/>
      <c r="L8" s="12"/>
      <c r="M8" s="323"/>
    </row>
    <row r="9" spans="1:13" ht="4.5" customHeight="1" x14ac:dyDescent="0.3">
      <c r="D9" s="413"/>
      <c r="E9" s="413"/>
      <c r="F9" s="413"/>
      <c r="G9" s="413"/>
      <c r="H9" s="413"/>
      <c r="I9" s="413"/>
      <c r="J9" s="413"/>
      <c r="K9" s="413"/>
      <c r="L9" s="413"/>
      <c r="M9" s="323"/>
    </row>
    <row r="10" spans="1:13" x14ac:dyDescent="0.3">
      <c r="B10" s="13" t="s">
        <v>30</v>
      </c>
      <c r="C10" s="406"/>
      <c r="D10" s="14"/>
      <c r="E10" s="14"/>
      <c r="F10" s="14"/>
      <c r="G10" s="14"/>
      <c r="H10" s="14"/>
      <c r="I10" s="14"/>
      <c r="J10" s="14"/>
      <c r="K10" s="14"/>
      <c r="L10" s="14"/>
      <c r="M10" s="323"/>
    </row>
    <row r="11" spans="1:13" s="185" customFormat="1" x14ac:dyDescent="0.3">
      <c r="A11" s="219"/>
      <c r="B11" s="21" t="s">
        <v>31</v>
      </c>
      <c r="C11" s="384" t="s">
        <v>32</v>
      </c>
      <c r="D11" s="184"/>
      <c r="E11" s="184"/>
      <c r="F11" s="184"/>
      <c r="G11" s="184"/>
      <c r="H11" s="184"/>
      <c r="I11" s="184"/>
      <c r="J11" s="184"/>
      <c r="K11" s="184"/>
      <c r="L11" s="184"/>
      <c r="M11" s="324"/>
    </row>
    <row r="12" spans="1:13" s="185" customFormat="1" x14ac:dyDescent="0.3">
      <c r="A12" s="219"/>
      <c r="B12" s="21" t="s">
        <v>33</v>
      </c>
      <c r="C12" s="384" t="s">
        <v>34</v>
      </c>
      <c r="D12" s="184"/>
      <c r="E12" s="184"/>
      <c r="F12" s="184"/>
      <c r="G12" s="184"/>
      <c r="H12" s="184"/>
      <c r="I12" s="184"/>
      <c r="J12" s="184"/>
      <c r="K12" s="184"/>
      <c r="L12" s="184"/>
      <c r="M12" s="324"/>
    </row>
    <row r="13" spans="1:13" s="185" customFormat="1" x14ac:dyDescent="0.3">
      <c r="A13" s="219"/>
      <c r="B13" s="21" t="s">
        <v>35</v>
      </c>
      <c r="C13" s="384" t="s">
        <v>34</v>
      </c>
      <c r="D13" s="184"/>
      <c r="E13" s="184"/>
      <c r="F13" s="184"/>
      <c r="G13" s="184"/>
      <c r="H13" s="184"/>
      <c r="I13" s="184"/>
      <c r="J13" s="184"/>
      <c r="K13" s="184"/>
      <c r="L13" s="184"/>
      <c r="M13" s="324"/>
    </row>
    <row r="14" spans="1:13" s="185" customFormat="1" x14ac:dyDescent="0.3">
      <c r="A14" s="219"/>
      <c r="B14" s="21" t="s">
        <v>36</v>
      </c>
      <c r="C14" s="384"/>
      <c r="D14" s="184"/>
      <c r="E14" s="184"/>
      <c r="F14" s="184"/>
      <c r="G14" s="184"/>
      <c r="H14" s="184"/>
      <c r="I14" s="184"/>
      <c r="J14" s="184"/>
      <c r="K14" s="184"/>
      <c r="L14" s="184"/>
      <c r="M14" s="324"/>
    </row>
    <row r="15" spans="1:13" s="185" customFormat="1" x14ac:dyDescent="0.3">
      <c r="A15" s="219"/>
      <c r="B15" s="21" t="s">
        <v>37</v>
      </c>
      <c r="C15" s="384" t="s">
        <v>34</v>
      </c>
      <c r="D15" s="184"/>
      <c r="E15" s="184"/>
      <c r="F15" s="184"/>
      <c r="G15" s="184"/>
      <c r="H15" s="184"/>
      <c r="I15" s="184"/>
      <c r="J15" s="184"/>
      <c r="K15" s="184"/>
      <c r="L15" s="184"/>
      <c r="M15" s="324"/>
    </row>
    <row r="16" spans="1:13" s="185" customFormat="1" ht="20.399999999999999" x14ac:dyDescent="0.3">
      <c r="A16" s="219"/>
      <c r="B16" s="21" t="s">
        <v>38</v>
      </c>
      <c r="C16" s="384"/>
      <c r="D16" s="184"/>
      <c r="E16" s="184"/>
      <c r="F16" s="184"/>
      <c r="G16" s="184"/>
      <c r="H16" s="184"/>
      <c r="I16" s="184"/>
      <c r="J16" s="184"/>
      <c r="K16" s="184"/>
      <c r="L16" s="184"/>
      <c r="M16" s="324"/>
    </row>
    <row r="17" spans="1:13" s="185" customFormat="1" x14ac:dyDescent="0.3">
      <c r="A17" s="219"/>
      <c r="B17" s="21" t="s">
        <v>39</v>
      </c>
      <c r="C17" s="384"/>
      <c r="D17" s="184"/>
      <c r="E17" s="184"/>
      <c r="F17" s="184"/>
      <c r="G17" s="184"/>
      <c r="H17" s="184"/>
      <c r="I17" s="184"/>
      <c r="J17" s="184"/>
      <c r="K17" s="184"/>
      <c r="L17" s="184"/>
      <c r="M17" s="324"/>
    </row>
    <row r="18" spans="1:13" s="185" customFormat="1" x14ac:dyDescent="0.3">
      <c r="A18" s="219"/>
      <c r="B18" s="21" t="s">
        <v>240</v>
      </c>
      <c r="C18" s="384"/>
      <c r="D18" s="184"/>
      <c r="E18" s="184"/>
      <c r="F18" s="184"/>
      <c r="G18" s="184"/>
      <c r="H18" s="184"/>
      <c r="I18" s="184"/>
      <c r="J18" s="184"/>
      <c r="K18" s="184"/>
      <c r="L18" s="184"/>
      <c r="M18" s="324"/>
    </row>
    <row r="19" spans="1:13" s="185" customFormat="1" x14ac:dyDescent="0.3">
      <c r="A19" s="219"/>
      <c r="B19" s="21" t="s">
        <v>40</v>
      </c>
      <c r="C19" s="384"/>
      <c r="D19" s="184"/>
      <c r="E19" s="184"/>
      <c r="F19" s="184"/>
      <c r="G19" s="184"/>
      <c r="H19" s="184"/>
      <c r="I19" s="184"/>
      <c r="J19" s="184"/>
      <c r="K19" s="184"/>
      <c r="L19" s="184"/>
      <c r="M19" s="324"/>
    </row>
    <row r="20" spans="1:13" s="185" customFormat="1" x14ac:dyDescent="0.3">
      <c r="A20" s="219"/>
      <c r="B20" s="21" t="s">
        <v>41</v>
      </c>
      <c r="C20" s="384"/>
      <c r="D20" s="184"/>
      <c r="E20" s="184"/>
      <c r="F20" s="184"/>
      <c r="G20" s="184"/>
      <c r="H20" s="184"/>
      <c r="I20" s="184"/>
      <c r="J20" s="184"/>
      <c r="K20" s="184"/>
      <c r="L20" s="184"/>
      <c r="M20" s="324"/>
    </row>
    <row r="21" spans="1:13" s="185" customFormat="1" x14ac:dyDescent="0.3">
      <c r="A21" s="219"/>
      <c r="B21" s="21" t="s">
        <v>241</v>
      </c>
      <c r="C21" s="384"/>
      <c r="D21" s="184"/>
      <c r="E21" s="184"/>
      <c r="F21" s="184"/>
      <c r="G21" s="184"/>
      <c r="H21" s="184"/>
      <c r="I21" s="184"/>
      <c r="J21" s="184"/>
      <c r="K21" s="184"/>
      <c r="L21" s="184"/>
      <c r="M21" s="324"/>
    </row>
    <row r="22" spans="1:13" s="185" customFormat="1" x14ac:dyDescent="0.3">
      <c r="A22" s="219"/>
      <c r="B22" s="21" t="s">
        <v>42</v>
      </c>
      <c r="C22" s="384" t="s">
        <v>34</v>
      </c>
      <c r="D22" s="184"/>
      <c r="E22" s="184"/>
      <c r="F22" s="184"/>
      <c r="G22" s="184"/>
      <c r="H22" s="184"/>
      <c r="I22" s="184"/>
      <c r="J22" s="184"/>
      <c r="K22" s="184"/>
      <c r="L22" s="184"/>
      <c r="M22" s="324"/>
    </row>
    <row r="23" spans="1:13" s="185" customFormat="1" x14ac:dyDescent="0.3">
      <c r="A23" s="219"/>
      <c r="B23" s="16"/>
      <c r="C23" s="407" t="s">
        <v>43</v>
      </c>
      <c r="D23" s="180">
        <f>SUM(D11:D22)</f>
        <v>0</v>
      </c>
      <c r="E23" s="180">
        <f>SUM(E11:E22)</f>
        <v>0</v>
      </c>
      <c r="F23" s="180">
        <f>SUM(F11:F22)</f>
        <v>0</v>
      </c>
      <c r="G23" s="180">
        <f t="shared" ref="G23:I23" si="1">SUM(G11:G22)</f>
        <v>0</v>
      </c>
      <c r="H23" s="180">
        <f t="shared" si="1"/>
        <v>0</v>
      </c>
      <c r="I23" s="180">
        <f t="shared" si="1"/>
        <v>0</v>
      </c>
      <c r="J23" s="180">
        <f>SUM(J11:J22)</f>
        <v>0</v>
      </c>
      <c r="K23" s="180">
        <f>SUM(K11:K22)</f>
        <v>0</v>
      </c>
      <c r="L23" s="180">
        <f>SUM(L11:L22)</f>
        <v>0</v>
      </c>
      <c r="M23" s="324"/>
    </row>
    <row r="24" spans="1:13" ht="4.5" customHeight="1" x14ac:dyDescent="0.3">
      <c r="D24" s="413"/>
      <c r="E24" s="413"/>
      <c r="F24" s="413"/>
      <c r="G24" s="413"/>
      <c r="H24" s="413"/>
      <c r="I24" s="413"/>
      <c r="J24" s="413"/>
      <c r="K24" s="413"/>
      <c r="L24" s="413"/>
      <c r="M24" s="323"/>
    </row>
    <row r="25" spans="1:13" x14ac:dyDescent="0.3">
      <c r="B25" s="18" t="s">
        <v>44</v>
      </c>
      <c r="C25" s="408"/>
      <c r="D25" s="20"/>
      <c r="E25" s="20"/>
      <c r="F25" s="20"/>
      <c r="G25" s="20"/>
      <c r="H25" s="20"/>
      <c r="I25" s="20"/>
      <c r="J25" s="20"/>
      <c r="K25" s="20"/>
      <c r="L25" s="20"/>
      <c r="M25" s="323"/>
    </row>
    <row r="26" spans="1:13" x14ac:dyDescent="0.3">
      <c r="B26" s="21" t="s">
        <v>45</v>
      </c>
      <c r="C26" s="384" t="s">
        <v>32</v>
      </c>
      <c r="D26" s="184"/>
      <c r="E26" s="184"/>
      <c r="F26" s="184"/>
      <c r="G26" s="184"/>
      <c r="H26" s="184"/>
      <c r="I26" s="184"/>
      <c r="J26" s="184"/>
      <c r="K26" s="184"/>
      <c r="L26" s="184"/>
      <c r="M26" s="323"/>
    </row>
    <row r="27" spans="1:13" x14ac:dyDescent="0.3">
      <c r="B27" s="21" t="s">
        <v>36</v>
      </c>
      <c r="C27" s="384" t="s">
        <v>34</v>
      </c>
      <c r="D27" s="184"/>
      <c r="E27" s="184"/>
      <c r="F27" s="184"/>
      <c r="G27" s="184"/>
      <c r="H27" s="184"/>
      <c r="I27" s="184"/>
      <c r="J27" s="184"/>
      <c r="K27" s="184"/>
      <c r="L27" s="184"/>
      <c r="M27" s="323"/>
    </row>
    <row r="28" spans="1:13" ht="22.2" customHeight="1" x14ac:dyDescent="0.3">
      <c r="B28" s="21" t="s">
        <v>46</v>
      </c>
      <c r="C28" s="384"/>
      <c r="D28" s="184"/>
      <c r="E28" s="184"/>
      <c r="F28" s="184"/>
      <c r="G28" s="184"/>
      <c r="H28" s="184"/>
      <c r="I28" s="184"/>
      <c r="J28" s="184"/>
      <c r="K28" s="184"/>
      <c r="L28" s="184"/>
      <c r="M28" s="323"/>
    </row>
    <row r="29" spans="1:13" ht="20.399999999999999" x14ac:dyDescent="0.3">
      <c r="B29" s="21" t="s">
        <v>38</v>
      </c>
      <c r="C29" s="384"/>
      <c r="D29" s="184"/>
      <c r="E29" s="184"/>
      <c r="F29" s="184"/>
      <c r="G29" s="184"/>
      <c r="H29" s="184"/>
      <c r="I29" s="184"/>
      <c r="J29" s="184"/>
      <c r="K29" s="184"/>
      <c r="L29" s="184"/>
      <c r="M29" s="323"/>
    </row>
    <row r="30" spans="1:13" x14ac:dyDescent="0.3">
      <c r="B30" s="21" t="s">
        <v>39</v>
      </c>
      <c r="C30" s="384" t="s">
        <v>34</v>
      </c>
      <c r="D30" s="184"/>
      <c r="E30" s="184"/>
      <c r="F30" s="184"/>
      <c r="G30" s="184"/>
      <c r="H30" s="184"/>
      <c r="I30" s="184"/>
      <c r="J30" s="184"/>
      <c r="K30" s="184"/>
      <c r="L30" s="184"/>
      <c r="M30" s="323"/>
    </row>
    <row r="31" spans="1:13" x14ac:dyDescent="0.3">
      <c r="B31" s="21" t="s">
        <v>47</v>
      </c>
      <c r="C31" s="384" t="s">
        <v>34</v>
      </c>
      <c r="D31" s="184"/>
      <c r="E31" s="184"/>
      <c r="F31" s="184"/>
      <c r="G31" s="184"/>
      <c r="H31" s="184"/>
      <c r="I31" s="184"/>
      <c r="J31" s="184"/>
      <c r="K31" s="184"/>
      <c r="L31" s="184"/>
      <c r="M31" s="323"/>
    </row>
    <row r="32" spans="1:13" x14ac:dyDescent="0.3">
      <c r="B32" s="21" t="s">
        <v>240</v>
      </c>
      <c r="C32" s="384"/>
      <c r="D32" s="184"/>
      <c r="E32" s="184"/>
      <c r="F32" s="184"/>
      <c r="G32" s="184"/>
      <c r="H32" s="184"/>
      <c r="I32" s="184"/>
      <c r="J32" s="184"/>
      <c r="K32" s="184"/>
      <c r="L32" s="184"/>
      <c r="M32" s="323"/>
    </row>
    <row r="33" spans="2:13" x14ac:dyDescent="0.3">
      <c r="B33" s="21" t="s">
        <v>42</v>
      </c>
      <c r="C33" s="384" t="s">
        <v>34</v>
      </c>
      <c r="D33" s="184"/>
      <c r="E33" s="184"/>
      <c r="F33" s="184"/>
      <c r="G33" s="184"/>
      <c r="H33" s="184"/>
      <c r="I33" s="184"/>
      <c r="J33" s="184"/>
      <c r="K33" s="184"/>
      <c r="L33" s="184"/>
      <c r="M33" s="323"/>
    </row>
    <row r="34" spans="2:13" x14ac:dyDescent="0.3">
      <c r="B34" s="21" t="s">
        <v>40</v>
      </c>
      <c r="C34" s="384" t="s">
        <v>34</v>
      </c>
      <c r="D34" s="184"/>
      <c r="E34" s="184"/>
      <c r="F34" s="184"/>
      <c r="G34" s="184"/>
      <c r="H34" s="184"/>
      <c r="I34" s="184"/>
      <c r="J34" s="184"/>
      <c r="K34" s="184"/>
      <c r="L34" s="184"/>
      <c r="M34" s="323"/>
    </row>
    <row r="35" spans="2:13" x14ac:dyDescent="0.3">
      <c r="B35" s="21" t="s">
        <v>48</v>
      </c>
      <c r="C35" s="384" t="s">
        <v>34</v>
      </c>
      <c r="D35" s="184"/>
      <c r="E35" s="184"/>
      <c r="F35" s="184"/>
      <c r="G35" s="184"/>
      <c r="H35" s="184"/>
      <c r="I35" s="184"/>
      <c r="J35" s="184"/>
      <c r="K35" s="184"/>
      <c r="L35" s="184"/>
      <c r="M35" s="323"/>
    </row>
    <row r="36" spans="2:13" x14ac:dyDescent="0.3">
      <c r="B36" s="21" t="s">
        <v>41</v>
      </c>
      <c r="C36" s="384" t="s">
        <v>34</v>
      </c>
      <c r="D36" s="184"/>
      <c r="E36" s="184"/>
      <c r="F36" s="184"/>
      <c r="G36" s="184"/>
      <c r="H36" s="184"/>
      <c r="I36" s="184"/>
      <c r="J36" s="184"/>
      <c r="K36" s="184"/>
      <c r="L36" s="184"/>
      <c r="M36" s="323"/>
    </row>
    <row r="37" spans="2:13" x14ac:dyDescent="0.3">
      <c r="B37" s="21" t="s">
        <v>242</v>
      </c>
      <c r="C37" s="384"/>
      <c r="D37" s="184"/>
      <c r="E37" s="184"/>
      <c r="F37" s="184"/>
      <c r="G37" s="184"/>
      <c r="H37" s="184"/>
      <c r="I37" s="184"/>
      <c r="J37" s="184"/>
      <c r="K37" s="184"/>
      <c r="L37" s="184"/>
      <c r="M37" s="323"/>
    </row>
    <row r="38" spans="2:13" x14ac:dyDescent="0.3">
      <c r="B38" s="21" t="s">
        <v>49</v>
      </c>
      <c r="C38" s="384"/>
      <c r="D38" s="184"/>
      <c r="E38" s="184"/>
      <c r="F38" s="184"/>
      <c r="G38" s="184"/>
      <c r="H38" s="184"/>
      <c r="I38" s="184"/>
      <c r="J38" s="184"/>
      <c r="K38" s="184"/>
      <c r="L38" s="184"/>
      <c r="M38" s="323"/>
    </row>
    <row r="39" spans="2:13" x14ac:dyDescent="0.3">
      <c r="B39" s="17"/>
      <c r="C39" s="407" t="s">
        <v>43</v>
      </c>
      <c r="D39" s="180">
        <f>SUM(D26:D38)</f>
        <v>0</v>
      </c>
      <c r="E39" s="180">
        <f>SUM(E26:E38)</f>
        <v>0</v>
      </c>
      <c r="F39" s="180">
        <f>SUM(F26:F38)</f>
        <v>0</v>
      </c>
      <c r="G39" s="180">
        <f t="shared" ref="G39:I39" si="2">SUM(G26:G38)</f>
        <v>0</v>
      </c>
      <c r="H39" s="180">
        <f t="shared" si="2"/>
        <v>0</v>
      </c>
      <c r="I39" s="180">
        <f t="shared" si="2"/>
        <v>0</v>
      </c>
      <c r="J39" s="180">
        <f>SUM(J26:J38)</f>
        <v>0</v>
      </c>
      <c r="K39" s="180">
        <f>SUM(K26:K38)</f>
        <v>0</v>
      </c>
      <c r="L39" s="180">
        <f>SUM(L26:L38)</f>
        <v>0</v>
      </c>
      <c r="M39" s="323"/>
    </row>
    <row r="40" spans="2:13" x14ac:dyDescent="0.3">
      <c r="B40" s="19"/>
      <c r="C40" s="409" t="s">
        <v>50</v>
      </c>
      <c r="D40" s="182">
        <f>D39+D23</f>
        <v>0</v>
      </c>
      <c r="E40" s="182">
        <f>E39+E23</f>
        <v>0</v>
      </c>
      <c r="F40" s="182">
        <f>F39+F23</f>
        <v>0</v>
      </c>
      <c r="G40" s="182">
        <f t="shared" ref="G40:I40" si="3">G39+G23</f>
        <v>0</v>
      </c>
      <c r="H40" s="182">
        <f t="shared" si="3"/>
        <v>0</v>
      </c>
      <c r="I40" s="182">
        <f t="shared" si="3"/>
        <v>0</v>
      </c>
      <c r="J40" s="182">
        <f>J39+J23</f>
        <v>0</v>
      </c>
      <c r="K40" s="182">
        <f>K39+K23</f>
        <v>0</v>
      </c>
      <c r="L40" s="182">
        <f>L39+L23</f>
        <v>0</v>
      </c>
      <c r="M40" s="323"/>
    </row>
    <row r="41" spans="2:13" ht="4.5" customHeight="1" x14ac:dyDescent="0.3">
      <c r="D41" s="413"/>
      <c r="E41" s="413"/>
      <c r="F41" s="413"/>
      <c r="G41" s="413"/>
      <c r="H41" s="413"/>
      <c r="I41" s="413"/>
      <c r="J41" s="413"/>
      <c r="K41" s="413"/>
      <c r="L41" s="413"/>
      <c r="M41" s="323"/>
    </row>
    <row r="42" spans="2:13" x14ac:dyDescent="0.3">
      <c r="B42" s="450" t="s">
        <v>51</v>
      </c>
      <c r="C42" s="451"/>
      <c r="D42" s="51"/>
      <c r="E42" s="51"/>
      <c r="F42" s="51"/>
      <c r="G42" s="51"/>
      <c r="H42" s="51"/>
      <c r="I42" s="51"/>
      <c r="J42" s="51"/>
      <c r="K42" s="51"/>
      <c r="L42" s="51"/>
      <c r="M42" s="323"/>
    </row>
    <row r="43" spans="2:13" x14ac:dyDescent="0.3">
      <c r="B43" s="21" t="s">
        <v>52</v>
      </c>
      <c r="C43" s="384" t="s">
        <v>32</v>
      </c>
      <c r="D43" s="184"/>
      <c r="E43" s="184"/>
      <c r="F43" s="184"/>
      <c r="G43" s="184"/>
      <c r="H43" s="184"/>
      <c r="I43" s="184"/>
      <c r="J43" s="184"/>
      <c r="K43" s="184"/>
      <c r="L43" s="184"/>
      <c r="M43" s="323"/>
    </row>
    <row r="44" spans="2:13" x14ac:dyDescent="0.3">
      <c r="B44" s="21" t="s">
        <v>243</v>
      </c>
      <c r="C44" s="384"/>
      <c r="D44" s="184"/>
      <c r="E44" s="184"/>
      <c r="F44" s="184"/>
      <c r="G44" s="184"/>
      <c r="H44" s="184"/>
      <c r="I44" s="184"/>
      <c r="J44" s="184"/>
      <c r="K44" s="184"/>
      <c r="L44" s="184"/>
      <c r="M44" s="323"/>
    </row>
    <row r="45" spans="2:13" x14ac:dyDescent="0.3">
      <c r="B45" s="21" t="s">
        <v>53</v>
      </c>
      <c r="C45" s="384" t="s">
        <v>34</v>
      </c>
      <c r="D45" s="184"/>
      <c r="E45" s="184"/>
      <c r="F45" s="184"/>
      <c r="G45" s="184"/>
      <c r="H45" s="184"/>
      <c r="I45" s="184"/>
      <c r="J45" s="184"/>
      <c r="K45" s="184"/>
      <c r="L45" s="184"/>
      <c r="M45" s="323"/>
    </row>
    <row r="46" spans="2:13" x14ac:dyDescent="0.3">
      <c r="B46" s="21" t="s">
        <v>54</v>
      </c>
      <c r="C46" s="384" t="s">
        <v>34</v>
      </c>
      <c r="D46" s="184"/>
      <c r="E46" s="184"/>
      <c r="F46" s="184"/>
      <c r="G46" s="184"/>
      <c r="H46" s="184"/>
      <c r="I46" s="184"/>
      <c r="J46" s="184"/>
      <c r="K46" s="184"/>
      <c r="L46" s="184"/>
      <c r="M46" s="323"/>
    </row>
    <row r="47" spans="2:13" x14ac:dyDescent="0.3">
      <c r="B47" s="21" t="s">
        <v>55</v>
      </c>
      <c r="C47" s="384" t="s">
        <v>34</v>
      </c>
      <c r="D47" s="184"/>
      <c r="E47" s="184"/>
      <c r="F47" s="184"/>
      <c r="G47" s="184"/>
      <c r="H47" s="184"/>
      <c r="I47" s="184"/>
      <c r="J47" s="184"/>
      <c r="K47" s="184"/>
      <c r="L47" s="184"/>
      <c r="M47" s="323"/>
    </row>
    <row r="48" spans="2:13" x14ac:dyDescent="0.3">
      <c r="B48" s="21" t="s">
        <v>56</v>
      </c>
      <c r="C48" s="384" t="s">
        <v>34</v>
      </c>
      <c r="D48" s="184"/>
      <c r="E48" s="184"/>
      <c r="F48" s="184"/>
      <c r="G48" s="184"/>
      <c r="H48" s="184"/>
      <c r="I48" s="184"/>
      <c r="J48" s="184"/>
      <c r="K48" s="184"/>
      <c r="L48" s="184"/>
      <c r="M48" s="323"/>
    </row>
    <row r="49" spans="2:13" x14ac:dyDescent="0.3">
      <c r="B49" s="21" t="s">
        <v>57</v>
      </c>
      <c r="C49" s="384"/>
      <c r="D49" s="184"/>
      <c r="E49" s="184"/>
      <c r="F49" s="184"/>
      <c r="G49" s="184"/>
      <c r="H49" s="184"/>
      <c r="I49" s="184"/>
      <c r="J49" s="184"/>
      <c r="K49" s="184"/>
      <c r="L49" s="184"/>
      <c r="M49" s="323"/>
    </row>
    <row r="50" spans="2:13" x14ac:dyDescent="0.3">
      <c r="B50" s="21" t="s">
        <v>58</v>
      </c>
      <c r="C50" s="384" t="s">
        <v>34</v>
      </c>
      <c r="D50" s="184"/>
      <c r="E50" s="184"/>
      <c r="F50" s="184"/>
      <c r="G50" s="184"/>
      <c r="H50" s="184"/>
      <c r="I50" s="184"/>
      <c r="J50" s="184"/>
      <c r="K50" s="184"/>
      <c r="L50" s="184"/>
      <c r="M50" s="323"/>
    </row>
    <row r="51" spans="2:13" x14ac:dyDescent="0.3">
      <c r="B51" s="21" t="s">
        <v>59</v>
      </c>
      <c r="C51" s="384"/>
      <c r="D51" s="184"/>
      <c r="E51" s="184"/>
      <c r="F51" s="184"/>
      <c r="G51" s="184"/>
      <c r="H51" s="184"/>
      <c r="I51" s="184"/>
      <c r="J51" s="184"/>
      <c r="K51" s="184"/>
      <c r="L51" s="184"/>
      <c r="M51" s="323"/>
    </row>
    <row r="52" spans="2:13" x14ac:dyDescent="0.3">
      <c r="B52" s="21" t="s">
        <v>23</v>
      </c>
      <c r="C52" s="384"/>
      <c r="D52" s="184"/>
      <c r="E52" s="184"/>
      <c r="F52" s="184"/>
      <c r="G52" s="184"/>
      <c r="H52" s="184"/>
      <c r="I52" s="184"/>
      <c r="J52" s="184"/>
      <c r="K52" s="184"/>
      <c r="L52" s="184"/>
      <c r="M52" s="323"/>
    </row>
    <row r="53" spans="2:13" x14ac:dyDescent="0.3">
      <c r="B53" s="21" t="s">
        <v>244</v>
      </c>
      <c r="C53" s="384"/>
      <c r="D53" s="184"/>
      <c r="E53" s="184"/>
      <c r="F53" s="184"/>
      <c r="G53" s="184"/>
      <c r="H53" s="184"/>
      <c r="I53" s="184"/>
      <c r="J53" s="184"/>
      <c r="K53" s="184"/>
      <c r="L53" s="184"/>
      <c r="M53" s="323"/>
    </row>
    <row r="54" spans="2:13" x14ac:dyDescent="0.3">
      <c r="B54" s="21" t="s">
        <v>60</v>
      </c>
      <c r="C54" s="384"/>
      <c r="D54" s="184"/>
      <c r="E54" s="184"/>
      <c r="F54" s="184"/>
      <c r="G54" s="184"/>
      <c r="H54" s="184"/>
      <c r="I54" s="184"/>
      <c r="J54" s="184"/>
      <c r="K54" s="184"/>
      <c r="L54" s="184"/>
      <c r="M54" s="323"/>
    </row>
    <row r="55" spans="2:13" x14ac:dyDescent="0.3">
      <c r="B55" s="16"/>
      <c r="C55" s="410" t="s">
        <v>61</v>
      </c>
      <c r="D55" s="182">
        <f>SUM(D43:D54)</f>
        <v>0</v>
      </c>
      <c r="E55" s="182">
        <f>SUM(E43:E54)</f>
        <v>0</v>
      </c>
      <c r="F55" s="182">
        <f>SUM(F43:F54)</f>
        <v>0</v>
      </c>
      <c r="G55" s="182">
        <f t="shared" ref="G55:L55" si="4">SUM(G43:G54)</f>
        <v>0</v>
      </c>
      <c r="H55" s="182">
        <f t="shared" si="4"/>
        <v>0</v>
      </c>
      <c r="I55" s="182">
        <f t="shared" si="4"/>
        <v>0</v>
      </c>
      <c r="J55" s="182">
        <f t="shared" si="4"/>
        <v>0</v>
      </c>
      <c r="K55" s="182">
        <f t="shared" si="4"/>
        <v>0</v>
      </c>
      <c r="L55" s="182">
        <f t="shared" si="4"/>
        <v>0</v>
      </c>
      <c r="M55" s="323"/>
    </row>
    <row r="56" spans="2:13" ht="4.5" customHeight="1" x14ac:dyDescent="0.3">
      <c r="D56" s="413"/>
      <c r="E56" s="413"/>
      <c r="F56" s="413"/>
      <c r="G56" s="413"/>
      <c r="H56" s="413"/>
      <c r="I56" s="413"/>
      <c r="J56" s="413"/>
      <c r="K56" s="413"/>
      <c r="L56" s="413"/>
      <c r="M56" s="323"/>
    </row>
    <row r="57" spans="2:13" x14ac:dyDescent="0.3">
      <c r="B57" s="450" t="s">
        <v>62</v>
      </c>
      <c r="C57" s="451"/>
      <c r="D57" s="51"/>
      <c r="E57" s="51"/>
      <c r="F57" s="51"/>
      <c r="G57" s="51"/>
      <c r="H57" s="51"/>
      <c r="I57" s="51"/>
      <c r="J57" s="51"/>
      <c r="K57" s="51"/>
      <c r="L57" s="51"/>
      <c r="M57" s="323"/>
    </row>
    <row r="58" spans="2:13" x14ac:dyDescent="0.3">
      <c r="B58" s="18" t="s">
        <v>63</v>
      </c>
      <c r="C58" s="408" t="s">
        <v>32</v>
      </c>
      <c r="D58" s="20"/>
      <c r="E58" s="20"/>
      <c r="F58" s="20"/>
      <c r="G58" s="20"/>
      <c r="H58" s="20"/>
      <c r="I58" s="20"/>
      <c r="J58" s="20"/>
      <c r="K58" s="20"/>
      <c r="L58" s="20"/>
      <c r="M58" s="323"/>
    </row>
    <row r="59" spans="2:13" x14ac:dyDescent="0.3">
      <c r="B59" s="21" t="s">
        <v>64</v>
      </c>
      <c r="C59" s="384" t="s">
        <v>34</v>
      </c>
      <c r="D59" s="184"/>
      <c r="E59" s="184"/>
      <c r="F59" s="184"/>
      <c r="G59" s="184"/>
      <c r="H59" s="184"/>
      <c r="I59" s="184"/>
      <c r="J59" s="184"/>
      <c r="K59" s="184"/>
      <c r="L59" s="184"/>
      <c r="M59" s="323"/>
    </row>
    <row r="60" spans="2:13" x14ac:dyDescent="0.3">
      <c r="B60" s="21" t="s">
        <v>65</v>
      </c>
      <c r="C60" s="384" t="s">
        <v>34</v>
      </c>
      <c r="D60" s="184"/>
      <c r="E60" s="184"/>
      <c r="F60" s="184"/>
      <c r="G60" s="184"/>
      <c r="H60" s="184"/>
      <c r="I60" s="184"/>
      <c r="J60" s="184"/>
      <c r="K60" s="184"/>
      <c r="L60" s="184"/>
      <c r="M60" s="323"/>
    </row>
    <row r="61" spans="2:13" x14ac:dyDescent="0.3">
      <c r="B61" s="21" t="s">
        <v>66</v>
      </c>
      <c r="C61" s="384"/>
      <c r="D61" s="184"/>
      <c r="E61" s="184"/>
      <c r="F61" s="184"/>
      <c r="G61" s="184"/>
      <c r="H61" s="184"/>
      <c r="I61" s="184"/>
      <c r="J61" s="184"/>
      <c r="K61" s="184"/>
      <c r="L61" s="184"/>
      <c r="M61" s="323"/>
    </row>
    <row r="62" spans="2:13" x14ac:dyDescent="0.3">
      <c r="B62" s="21" t="s">
        <v>67</v>
      </c>
      <c r="C62" s="384"/>
      <c r="D62" s="184"/>
      <c r="E62" s="184"/>
      <c r="F62" s="184"/>
      <c r="G62" s="184"/>
      <c r="H62" s="184"/>
      <c r="I62" s="184"/>
      <c r="J62" s="184"/>
      <c r="K62" s="184"/>
      <c r="L62" s="184"/>
      <c r="M62" s="323"/>
    </row>
    <row r="63" spans="2:13" x14ac:dyDescent="0.3">
      <c r="B63" s="21" t="s">
        <v>68</v>
      </c>
      <c r="C63" s="384" t="s">
        <v>34</v>
      </c>
      <c r="D63" s="184"/>
      <c r="E63" s="184"/>
      <c r="F63" s="184"/>
      <c r="G63" s="184"/>
      <c r="H63" s="184"/>
      <c r="I63" s="184"/>
      <c r="J63" s="184"/>
      <c r="K63" s="184"/>
      <c r="L63" s="184"/>
      <c r="M63" s="323"/>
    </row>
    <row r="64" spans="2:13" x14ac:dyDescent="0.3">
      <c r="B64" s="21" t="s">
        <v>40</v>
      </c>
      <c r="C64" s="384"/>
      <c r="D64" s="184"/>
      <c r="E64" s="184"/>
      <c r="F64" s="184"/>
      <c r="G64" s="184"/>
      <c r="H64" s="184"/>
      <c r="I64" s="184"/>
      <c r="J64" s="184"/>
      <c r="K64" s="184"/>
      <c r="L64" s="184"/>
      <c r="M64" s="323"/>
    </row>
    <row r="65" spans="2:13" x14ac:dyDescent="0.3">
      <c r="B65" s="21" t="s">
        <v>245</v>
      </c>
      <c r="C65" s="384"/>
      <c r="D65" s="184"/>
      <c r="E65" s="184"/>
      <c r="F65" s="184"/>
      <c r="G65" s="184"/>
      <c r="H65" s="184"/>
      <c r="I65" s="184"/>
      <c r="J65" s="184"/>
      <c r="K65" s="184"/>
      <c r="L65" s="184"/>
      <c r="M65" s="323"/>
    </row>
    <row r="66" spans="2:13" x14ac:dyDescent="0.3">
      <c r="B66" s="21" t="s">
        <v>69</v>
      </c>
      <c r="C66" s="384" t="s">
        <v>34</v>
      </c>
      <c r="D66" s="184"/>
      <c r="E66" s="184"/>
      <c r="F66" s="184"/>
      <c r="G66" s="184"/>
      <c r="H66" s="184"/>
      <c r="I66" s="184"/>
      <c r="J66" s="184"/>
      <c r="K66" s="184"/>
      <c r="L66" s="184"/>
      <c r="M66" s="323"/>
    </row>
    <row r="67" spans="2:13" x14ac:dyDescent="0.3">
      <c r="B67" s="16"/>
      <c r="C67" s="411" t="s">
        <v>43</v>
      </c>
      <c r="D67" s="180">
        <f>SUM(D59:D66)</f>
        <v>0</v>
      </c>
      <c r="E67" s="180">
        <f>SUM(E59:E66)</f>
        <v>0</v>
      </c>
      <c r="F67" s="180">
        <f>SUM(F59:F66)</f>
        <v>0</v>
      </c>
      <c r="G67" s="180">
        <f t="shared" ref="G67:I67" si="5">SUM(G59:G66)</f>
        <v>0</v>
      </c>
      <c r="H67" s="180">
        <f t="shared" si="5"/>
        <v>0</v>
      </c>
      <c r="I67" s="180">
        <f t="shared" si="5"/>
        <v>0</v>
      </c>
      <c r="J67" s="180">
        <f>SUM(J59:J66)</f>
        <v>0</v>
      </c>
      <c r="K67" s="180">
        <f>SUM(K59:K66)</f>
        <v>0</v>
      </c>
      <c r="L67" s="180">
        <f>SUM(L59:L66)</f>
        <v>0</v>
      </c>
      <c r="M67" s="323"/>
    </row>
    <row r="68" spans="2:13" ht="4.5" customHeight="1" x14ac:dyDescent="0.3">
      <c r="D68" s="413"/>
      <c r="E68" s="413"/>
      <c r="F68" s="413"/>
      <c r="G68" s="413"/>
      <c r="H68" s="413"/>
      <c r="I68" s="413"/>
      <c r="J68" s="413"/>
      <c r="K68" s="413"/>
      <c r="L68" s="413"/>
      <c r="M68" s="323"/>
    </row>
    <row r="69" spans="2:13" x14ac:dyDescent="0.3">
      <c r="B69" s="18" t="s">
        <v>70</v>
      </c>
      <c r="C69" s="408" t="s">
        <v>34</v>
      </c>
      <c r="D69" s="20"/>
      <c r="E69" s="20"/>
      <c r="F69" s="20"/>
      <c r="G69" s="20"/>
      <c r="H69" s="20"/>
      <c r="I69" s="20"/>
      <c r="J69" s="20"/>
      <c r="K69" s="20"/>
      <c r="L69" s="20"/>
      <c r="M69" s="323"/>
    </row>
    <row r="70" spans="2:13" x14ac:dyDescent="0.3">
      <c r="B70" s="21" t="s">
        <v>71</v>
      </c>
      <c r="C70" s="384"/>
      <c r="D70" s="184"/>
      <c r="E70" s="184"/>
      <c r="F70" s="184"/>
      <c r="G70" s="184"/>
      <c r="H70" s="184"/>
      <c r="I70" s="184"/>
      <c r="J70" s="184"/>
      <c r="K70" s="184"/>
      <c r="L70" s="184"/>
      <c r="M70" s="323"/>
    </row>
    <row r="71" spans="2:13" x14ac:dyDescent="0.3">
      <c r="B71" s="21" t="s">
        <v>67</v>
      </c>
      <c r="C71" s="384" t="s">
        <v>34</v>
      </c>
      <c r="D71" s="184"/>
      <c r="E71" s="184"/>
      <c r="F71" s="184"/>
      <c r="G71" s="184"/>
      <c r="H71" s="184"/>
      <c r="I71" s="184"/>
      <c r="J71" s="184"/>
      <c r="K71" s="184"/>
      <c r="L71" s="184"/>
      <c r="M71" s="323"/>
    </row>
    <row r="72" spans="2:13" x14ac:dyDescent="0.3">
      <c r="B72" s="21" t="s">
        <v>72</v>
      </c>
      <c r="C72" s="384" t="s">
        <v>34</v>
      </c>
      <c r="D72" s="184"/>
      <c r="E72" s="184"/>
      <c r="F72" s="184"/>
      <c r="G72" s="184"/>
      <c r="H72" s="184"/>
      <c r="I72" s="184"/>
      <c r="J72" s="184"/>
      <c r="K72" s="184"/>
      <c r="L72" s="184"/>
      <c r="M72" s="323"/>
    </row>
    <row r="73" spans="2:13" x14ac:dyDescent="0.3">
      <c r="B73" s="21" t="s">
        <v>47</v>
      </c>
      <c r="C73" s="384" t="s">
        <v>34</v>
      </c>
      <c r="D73" s="184"/>
      <c r="E73" s="184"/>
      <c r="F73" s="184"/>
      <c r="G73" s="184"/>
      <c r="H73" s="184"/>
      <c r="I73" s="184"/>
      <c r="J73" s="184"/>
      <c r="K73" s="184"/>
      <c r="L73" s="184"/>
      <c r="M73" s="323"/>
    </row>
    <row r="74" spans="2:13" x14ac:dyDescent="0.3">
      <c r="B74" s="21" t="s">
        <v>240</v>
      </c>
      <c r="C74" s="384"/>
      <c r="D74" s="184"/>
      <c r="E74" s="184"/>
      <c r="F74" s="184"/>
      <c r="G74" s="184"/>
      <c r="H74" s="184"/>
      <c r="I74" s="184"/>
      <c r="J74" s="184"/>
      <c r="K74" s="184"/>
      <c r="L74" s="184"/>
      <c r="M74" s="323"/>
    </row>
    <row r="75" spans="2:13" x14ac:dyDescent="0.3">
      <c r="B75" s="21" t="s">
        <v>65</v>
      </c>
      <c r="C75" s="384" t="s">
        <v>34</v>
      </c>
      <c r="D75" s="184"/>
      <c r="E75" s="184"/>
      <c r="F75" s="184"/>
      <c r="G75" s="184"/>
      <c r="H75" s="184"/>
      <c r="I75" s="184"/>
      <c r="J75" s="184"/>
      <c r="K75" s="184"/>
      <c r="L75" s="184"/>
      <c r="M75" s="323"/>
    </row>
    <row r="76" spans="2:13" x14ac:dyDescent="0.3">
      <c r="B76" s="21" t="s">
        <v>66</v>
      </c>
      <c r="C76" s="384"/>
      <c r="D76" s="184"/>
      <c r="E76" s="184"/>
      <c r="F76" s="184"/>
      <c r="G76" s="184"/>
      <c r="H76" s="184"/>
      <c r="I76" s="184"/>
      <c r="J76" s="184"/>
      <c r="K76" s="184"/>
      <c r="L76" s="184"/>
      <c r="M76" s="323"/>
    </row>
    <row r="77" spans="2:13" x14ac:dyDescent="0.3">
      <c r="B77" s="21" t="s">
        <v>69</v>
      </c>
      <c r="C77" s="384" t="s">
        <v>34</v>
      </c>
      <c r="D77" s="184"/>
      <c r="E77" s="184"/>
      <c r="F77" s="184"/>
      <c r="G77" s="184"/>
      <c r="H77" s="184"/>
      <c r="I77" s="184"/>
      <c r="J77" s="184"/>
      <c r="K77" s="184"/>
      <c r="L77" s="184"/>
      <c r="M77" s="323"/>
    </row>
    <row r="78" spans="2:13" x14ac:dyDescent="0.3">
      <c r="B78" s="21" t="s">
        <v>40</v>
      </c>
      <c r="C78" s="384" t="s">
        <v>34</v>
      </c>
      <c r="D78" s="184"/>
      <c r="E78" s="184"/>
      <c r="F78" s="184"/>
      <c r="G78" s="184"/>
      <c r="H78" s="184"/>
      <c r="I78" s="184"/>
      <c r="J78" s="184"/>
      <c r="K78" s="184"/>
      <c r="L78" s="184"/>
      <c r="M78" s="323"/>
    </row>
    <row r="79" spans="2:13" x14ac:dyDescent="0.3">
      <c r="B79" s="21" t="s">
        <v>73</v>
      </c>
      <c r="C79" s="384" t="s">
        <v>34</v>
      </c>
      <c r="D79" s="184"/>
      <c r="E79" s="184"/>
      <c r="F79" s="184"/>
      <c r="G79" s="184"/>
      <c r="H79" s="184"/>
      <c r="I79" s="184"/>
      <c r="J79" s="184"/>
      <c r="K79" s="184"/>
      <c r="L79" s="184"/>
      <c r="M79" s="323"/>
    </row>
    <row r="80" spans="2:13" x14ac:dyDescent="0.3">
      <c r="B80" s="21" t="s">
        <v>74</v>
      </c>
      <c r="C80" s="384" t="s">
        <v>34</v>
      </c>
      <c r="D80" s="184"/>
      <c r="E80" s="184"/>
      <c r="F80" s="184"/>
      <c r="G80" s="184"/>
      <c r="H80" s="184"/>
      <c r="I80" s="184"/>
      <c r="J80" s="184"/>
      <c r="K80" s="184"/>
      <c r="L80" s="184"/>
      <c r="M80" s="323"/>
    </row>
    <row r="81" spans="1:13" x14ac:dyDescent="0.3">
      <c r="B81" s="60"/>
      <c r="C81" s="15" t="s">
        <v>43</v>
      </c>
      <c r="D81" s="180">
        <f>SUM(D70:D80)</f>
        <v>0</v>
      </c>
      <c r="E81" s="181">
        <f>SUM(E70:E80)</f>
        <v>0</v>
      </c>
      <c r="F81" s="181">
        <f>SUM(F70:F80)</f>
        <v>0</v>
      </c>
      <c r="G81" s="181">
        <f t="shared" ref="G81:I81" si="6">SUM(G70:G80)</f>
        <v>0</v>
      </c>
      <c r="H81" s="181">
        <f t="shared" si="6"/>
        <v>0</v>
      </c>
      <c r="I81" s="181">
        <f t="shared" si="6"/>
        <v>0</v>
      </c>
      <c r="J81" s="181">
        <f>SUM(J70:J80)</f>
        <v>0</v>
      </c>
      <c r="K81" s="181">
        <f>SUM(K70:K80)</f>
        <v>0</v>
      </c>
      <c r="L81" s="181">
        <f>SUM(L70:L80)</f>
        <v>0</v>
      </c>
      <c r="M81" s="323"/>
    </row>
    <row r="82" spans="1:13" ht="4.5" customHeight="1" x14ac:dyDescent="0.3">
      <c r="D82" s="185"/>
      <c r="E82" s="185"/>
      <c r="F82" s="185"/>
      <c r="G82" s="185"/>
      <c r="H82" s="185"/>
      <c r="I82" s="185"/>
      <c r="J82" s="185"/>
      <c r="K82" s="185"/>
      <c r="L82" s="185"/>
      <c r="M82" s="323"/>
    </row>
    <row r="83" spans="1:13" x14ac:dyDescent="0.3">
      <c r="B83" s="60"/>
      <c r="C83" s="15" t="s">
        <v>75</v>
      </c>
      <c r="D83" s="182">
        <f>D81+D67</f>
        <v>0</v>
      </c>
      <c r="E83" s="179">
        <f>E81+E67</f>
        <v>0</v>
      </c>
      <c r="F83" s="179">
        <f>F81+F67</f>
        <v>0</v>
      </c>
      <c r="G83" s="179">
        <f t="shared" ref="G83:I83" si="7">G81+G67</f>
        <v>0</v>
      </c>
      <c r="H83" s="179">
        <f t="shared" si="7"/>
        <v>0</v>
      </c>
      <c r="I83" s="179">
        <f t="shared" si="7"/>
        <v>0</v>
      </c>
      <c r="J83" s="179">
        <f>J81+J67</f>
        <v>0</v>
      </c>
      <c r="K83" s="179">
        <f>K81+K67</f>
        <v>0</v>
      </c>
      <c r="L83" s="179">
        <f>L81+L67</f>
        <v>0</v>
      </c>
      <c r="M83" s="323"/>
    </row>
    <row r="84" spans="1:13" ht="4.5" customHeight="1" x14ac:dyDescent="0.3">
      <c r="D84" s="185"/>
      <c r="E84" s="185"/>
      <c r="F84" s="185"/>
      <c r="G84" s="185"/>
      <c r="H84" s="185"/>
      <c r="I84" s="185"/>
      <c r="J84" s="185"/>
      <c r="K84" s="185"/>
      <c r="L84" s="185"/>
      <c r="M84" s="323"/>
    </row>
    <row r="85" spans="1:13" x14ac:dyDescent="0.3">
      <c r="B85" s="60"/>
      <c r="C85" s="15" t="s">
        <v>76</v>
      </c>
      <c r="D85" s="182">
        <f>D55+D83</f>
        <v>0</v>
      </c>
      <c r="E85" s="179">
        <f>E55+E83</f>
        <v>0</v>
      </c>
      <c r="F85" s="179">
        <f>F55+F83</f>
        <v>0</v>
      </c>
      <c r="G85" s="179">
        <f t="shared" ref="G85:I85" si="8">G55+G83</f>
        <v>0</v>
      </c>
      <c r="H85" s="179">
        <f t="shared" si="8"/>
        <v>0</v>
      </c>
      <c r="I85" s="179">
        <f t="shared" si="8"/>
        <v>0</v>
      </c>
      <c r="J85" s="179">
        <f>J55+J83</f>
        <v>0</v>
      </c>
      <c r="K85" s="179">
        <f>K55+K83</f>
        <v>0</v>
      </c>
      <c r="L85" s="179">
        <f>L55+L83</f>
        <v>0</v>
      </c>
      <c r="M85" s="323"/>
    </row>
    <row r="86" spans="1:13" x14ac:dyDescent="0.3">
      <c r="M86" s="323"/>
    </row>
    <row r="87" spans="1:13" x14ac:dyDescent="0.3">
      <c r="A87" s="240">
        <f>+SUM(D87:L87)</f>
        <v>0</v>
      </c>
      <c r="B87" s="175" t="s">
        <v>231</v>
      </c>
      <c r="D87" s="177">
        <f>+D85-Ativo_2023</f>
        <v>0</v>
      </c>
      <c r="E87" s="176">
        <f>+E85-Ativo_2024</f>
        <v>0</v>
      </c>
      <c r="F87" s="176">
        <f>+F85-Ativo_2024</f>
        <v>0</v>
      </c>
      <c r="G87" s="176">
        <f>+G85-G40</f>
        <v>0</v>
      </c>
      <c r="H87" s="176">
        <f t="shared" ref="H87:I87" si="9">+H85-H40</f>
        <v>0</v>
      </c>
      <c r="I87" s="176">
        <f t="shared" si="9"/>
        <v>0</v>
      </c>
      <c r="J87" s="176">
        <f>+J85-Ativo_2025</f>
        <v>0</v>
      </c>
      <c r="K87" s="176">
        <f>+K85-Ativo_2026</f>
        <v>0</v>
      </c>
      <c r="L87" s="176">
        <f>+L85-Ativo_2027</f>
        <v>0</v>
      </c>
      <c r="M87" s="323"/>
    </row>
    <row r="88" spans="1:13" x14ac:dyDescent="0.3">
      <c r="M88" s="323"/>
    </row>
    <row r="89" spans="1:13" x14ac:dyDescent="0.3"/>
    <row r="90" spans="1:13" x14ac:dyDescent="0.3"/>
  </sheetData>
  <sheetProtection sheet="1" selectLockedCells="1"/>
  <mergeCells count="6">
    <mergeCell ref="B57:C57"/>
    <mergeCell ref="B1:L1"/>
    <mergeCell ref="B5:B6"/>
    <mergeCell ref="C5:C6"/>
    <mergeCell ref="B42:C42"/>
    <mergeCell ref="B8:C8"/>
  </mergeCells>
  <dataValidations count="6">
    <dataValidation type="custom" allowBlank="1" showInputMessage="1" showErrorMessage="1" errorTitle="Erro" error="Não introduzir dados nesta célua_x000a_" sqref="M41:M54 M59:M66 M70:M80 M7:M10 B39:L42 B23:L25 B7:L9" xr:uid="{00000000-0002-0000-0300-000000000000}">
      <formula1>"&lt;&gt;"""""</formula1>
    </dataValidation>
    <dataValidation type="custom" allowBlank="1" showInputMessage="1" showErrorMessage="1" errorTitle="Erro" error="Não introduzir dados nesta célula_x000a_" sqref="K5:K6 M11:M40 M3 L4:M6 B1:M2 A1:A85 M55:M58 B55:C58 B3:C6 B67:M69 D56:L58 B81:M85 D3:J4 J6 A88:M1048576" xr:uid="{00000000-0002-0000-0300-000001000000}">
      <formula1>"&lt;&gt;"""""</formula1>
    </dataValidation>
    <dataValidation type="custom" allowBlank="1" showInputMessage="1" showErrorMessage="1" errorTitle="Erro" error="Não introduzir dados nesta célula" sqref="K4" xr:uid="{00000000-0002-0000-0300-000002000000}">
      <formula1>"&lt;&gt;"""""</formula1>
    </dataValidation>
    <dataValidation allowBlank="1" showInputMessage="1" showErrorMessage="1" errorTitle="Erro" error="Não introduzir dados nesta célula_x000a_" sqref="B86 D5:F6 A86:A87 C86:XFD87 D55:L55" xr:uid="{00000000-0002-0000-0300-000003000000}"/>
    <dataValidation allowBlank="1" showInputMessage="1" showErrorMessage="1" errorTitle="Erro" error="Não introduzir dados nesta célula" sqref="B87" xr:uid="{00000000-0002-0000-0300-000004000000}"/>
    <dataValidation type="decimal" allowBlank="1" showInputMessage="1" showErrorMessage="1" errorTitle="Validação" error="Campo numérico. Introduzir valor." sqref="D70:L80 D11:L22 D26:L38 D43:L54 D59:L66" xr:uid="{00000000-0002-0000-0300-000005000000}">
      <formula1>-1E+22</formula1>
      <formula2>1E+22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5">
    <tabColor theme="5" tint="0.59999389629810485"/>
  </sheetPr>
  <dimension ref="A1:XFC47"/>
  <sheetViews>
    <sheetView showGridLines="0" zoomScaleNormal="100" workbookViewId="0">
      <pane ySplit="6" topLeftCell="A7" activePane="bottomLeft" state="frozen"/>
      <selection pane="bottomLeft" activeCell="C8" sqref="C8"/>
    </sheetView>
  </sheetViews>
  <sheetFormatPr defaultColWidth="0" defaultRowHeight="14.4" zeroHeight="1" x14ac:dyDescent="0.3"/>
  <cols>
    <col min="1" max="1" width="4.109375" style="219" customWidth="1"/>
    <col min="2" max="2" width="52.109375" customWidth="1"/>
    <col min="3" max="3" width="9.109375" customWidth="1"/>
    <col min="4" max="12" width="19.6640625" customWidth="1"/>
    <col min="13" max="13" width="6.33203125" customWidth="1"/>
    <col min="14" max="14" width="0" hidden="1" customWidth="1"/>
    <col min="15" max="16383" width="9.109375" hidden="1"/>
    <col min="16384" max="16384" width="0.5546875" hidden="1" customWidth="1"/>
  </cols>
  <sheetData>
    <row r="1" spans="1:13" ht="14.4" customHeight="1" x14ac:dyDescent="0.3">
      <c r="B1" s="452" t="str">
        <f>IF(Instruções!C7="","",Instruções!C7)</f>
        <v/>
      </c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328"/>
    </row>
    <row r="2" spans="1:13" ht="14.4" customHeight="1" x14ac:dyDescent="0.3">
      <c r="M2" s="328"/>
    </row>
    <row r="3" spans="1:13" ht="14.4" customHeight="1" x14ac:dyDescent="0.3">
      <c r="A3" s="221"/>
      <c r="B3" s="24" t="s">
        <v>24</v>
      </c>
      <c r="C3" s="2"/>
      <c r="D3" s="1"/>
      <c r="E3" s="1"/>
      <c r="F3" s="1"/>
      <c r="G3" s="1"/>
      <c r="H3" s="1"/>
      <c r="I3" s="1"/>
      <c r="J3" s="1"/>
      <c r="M3" s="328"/>
    </row>
    <row r="4" spans="1:13" ht="14.4" customHeight="1" x14ac:dyDescent="0.3">
      <c r="A4" s="221"/>
      <c r="B4" s="3"/>
      <c r="C4" s="2"/>
      <c r="D4" s="1"/>
      <c r="E4" s="1"/>
      <c r="F4" s="1"/>
      <c r="G4" s="1"/>
      <c r="H4" s="1"/>
      <c r="I4" s="1"/>
      <c r="J4" s="1"/>
      <c r="K4" s="26" t="s">
        <v>147</v>
      </c>
      <c r="L4" s="25"/>
      <c r="M4" s="328"/>
    </row>
    <row r="5" spans="1:13" ht="15" customHeight="1" x14ac:dyDescent="0.3">
      <c r="B5" s="453" t="s">
        <v>1</v>
      </c>
      <c r="C5" s="454" t="s">
        <v>2</v>
      </c>
      <c r="D5" s="389">
        <f>IF(Instruções!C10="","",IF(ISERROR(Instruções!C10),"",Instruções!C10-1))</f>
        <v>2023</v>
      </c>
      <c r="E5" s="389">
        <f>IF(Instruções!$C$10="","",IF(ISERROR(Instruções!$C$10),"",Instruções!$C$10))</f>
        <v>2024</v>
      </c>
      <c r="F5" s="389">
        <f>IF(Instruções!$C$10="","",IF(ISERROR(Instruções!$C$10),"",Instruções!$C$10))</f>
        <v>2024</v>
      </c>
      <c r="G5" s="362" t="str">
        <f>IF(Instruções!$C$10="","",IF(ISERROR(Instruções!$C$10),"","1.ºT"&amp;Instruções!$C$10+1))</f>
        <v>1.ºT2025</v>
      </c>
      <c r="H5" s="362" t="str">
        <f>IF(Instruções!$C$10="","",IF(ISERROR(Instruções!$C$10),"","2.ºT"&amp;Instruções!$C$10+1))</f>
        <v>2.ºT2025</v>
      </c>
      <c r="I5" s="362" t="str">
        <f>IF(Instruções!$C$10="","",IF(ISERROR(Instruções!$C$10),"","3.ºT"&amp;Instruções!$C$10+1))</f>
        <v>3.ºT2025</v>
      </c>
      <c r="J5" s="362" t="str">
        <f>IF(Instruções!$C$10="","",IF(ISERROR(Instruções!$C$10),"","4.ºT"&amp;Instruções!$C$10+1))</f>
        <v>4.ºT2025</v>
      </c>
      <c r="K5" s="362">
        <f>IF(Instruções!C10="","",IF(ISERROR(Instruções!C10),"",Instruções!C10+2))</f>
        <v>2026</v>
      </c>
      <c r="L5" s="362">
        <f>IF(Instruções!C10="","",IF(ISERROR(Instruções!C10),"",Instruções!C10+3))</f>
        <v>2027</v>
      </c>
      <c r="M5" s="328"/>
    </row>
    <row r="6" spans="1:13" ht="15" customHeight="1" x14ac:dyDescent="0.3">
      <c r="B6" s="453"/>
      <c r="C6" s="454"/>
      <c r="D6" s="11" t="str">
        <f>IF(D5="","","Execução")</f>
        <v>Execução</v>
      </c>
      <c r="E6" s="11" t="str">
        <f>IF(D5="","","PAO")</f>
        <v>PAO</v>
      </c>
      <c r="F6" s="11" t="str">
        <f>IF(D5="","","Estimativa")</f>
        <v>Estimativa</v>
      </c>
      <c r="G6" s="47" t="str">
        <f>IF($F$5="","","Previsão")</f>
        <v>Previsão</v>
      </c>
      <c r="H6" s="47" t="str">
        <f t="shared" ref="H6:I6" si="0">IF($F$5="","","Previsão")</f>
        <v>Previsão</v>
      </c>
      <c r="I6" s="47" t="str">
        <f t="shared" si="0"/>
        <v>Previsão</v>
      </c>
      <c r="J6" s="47" t="str">
        <f>IF(F5="","","Previsão")</f>
        <v>Previsão</v>
      </c>
      <c r="K6" s="47" t="str">
        <f>IF(J5="","","Previsão")</f>
        <v>Previsão</v>
      </c>
      <c r="L6" s="47" t="str">
        <f>IF(K5="","","Previsão")</f>
        <v>Previsão</v>
      </c>
      <c r="M6" s="328"/>
    </row>
    <row r="7" spans="1:13" ht="6.75" customHeight="1" x14ac:dyDescent="0.3">
      <c r="D7" s="413"/>
      <c r="E7" s="413"/>
      <c r="F7" s="413"/>
      <c r="G7" s="413"/>
      <c r="H7" s="413"/>
      <c r="I7" s="413"/>
      <c r="J7" s="413"/>
      <c r="K7" s="413"/>
      <c r="L7" s="413"/>
      <c r="M7" s="328"/>
    </row>
    <row r="8" spans="1:13" x14ac:dyDescent="0.3">
      <c r="B8" s="21" t="s">
        <v>112</v>
      </c>
      <c r="C8" s="384"/>
      <c r="D8" s="184"/>
      <c r="E8" s="184"/>
      <c r="F8" s="184"/>
      <c r="G8" s="184"/>
      <c r="H8" s="184"/>
      <c r="I8" s="184"/>
      <c r="J8" s="184"/>
      <c r="K8" s="184"/>
      <c r="L8" s="184"/>
      <c r="M8" s="328"/>
    </row>
    <row r="9" spans="1:13" x14ac:dyDescent="0.3">
      <c r="B9" s="21" t="s">
        <v>3</v>
      </c>
      <c r="C9" s="384"/>
      <c r="D9" s="184"/>
      <c r="E9" s="184"/>
      <c r="F9" s="184"/>
      <c r="G9" s="184"/>
      <c r="H9" s="184"/>
      <c r="I9" s="184"/>
      <c r="J9" s="184"/>
      <c r="K9" s="184"/>
      <c r="L9" s="184"/>
      <c r="M9" s="328"/>
    </row>
    <row r="10" spans="1:13" x14ac:dyDescent="0.3">
      <c r="B10" s="21" t="s">
        <v>113</v>
      </c>
      <c r="C10" s="384"/>
      <c r="D10" s="184"/>
      <c r="E10" s="184"/>
      <c r="F10" s="184"/>
      <c r="G10" s="184"/>
      <c r="H10" s="184"/>
      <c r="I10" s="184"/>
      <c r="J10" s="184"/>
      <c r="K10" s="184"/>
      <c r="L10" s="184"/>
      <c r="M10" s="328"/>
    </row>
    <row r="11" spans="1:13" x14ac:dyDescent="0.3">
      <c r="B11" s="21" t="s">
        <v>114</v>
      </c>
      <c r="C11" s="384"/>
      <c r="D11" s="184"/>
      <c r="E11" s="184"/>
      <c r="F11" s="184"/>
      <c r="G11" s="184"/>
      <c r="H11" s="184"/>
      <c r="I11" s="184"/>
      <c r="J11" s="184"/>
      <c r="K11" s="184"/>
      <c r="L11" s="184"/>
      <c r="M11" s="328"/>
    </row>
    <row r="12" spans="1:13" ht="20.399999999999999" x14ac:dyDescent="0.3">
      <c r="B12" s="21" t="s">
        <v>4</v>
      </c>
      <c r="C12" s="384"/>
      <c r="D12" s="184"/>
      <c r="E12" s="184"/>
      <c r="F12" s="184"/>
      <c r="G12" s="184"/>
      <c r="H12" s="184"/>
      <c r="I12" s="184"/>
      <c r="J12" s="184"/>
      <c r="K12" s="184"/>
      <c r="L12" s="184"/>
      <c r="M12" s="328"/>
    </row>
    <row r="13" spans="1:13" x14ac:dyDescent="0.3">
      <c r="B13" s="21" t="s">
        <v>5</v>
      </c>
      <c r="C13" s="384"/>
      <c r="D13" s="184"/>
      <c r="E13" s="184"/>
      <c r="F13" s="184"/>
      <c r="G13" s="184"/>
      <c r="H13" s="184"/>
      <c r="I13" s="184"/>
      <c r="J13" s="184"/>
      <c r="K13" s="184"/>
      <c r="L13" s="184"/>
      <c r="M13" s="328"/>
    </row>
    <row r="14" spans="1:13" x14ac:dyDescent="0.3">
      <c r="B14" s="22" t="s">
        <v>6</v>
      </c>
      <c r="C14" s="414"/>
      <c r="D14" s="184"/>
      <c r="E14" s="184"/>
      <c r="F14" s="184"/>
      <c r="G14" s="184"/>
      <c r="H14" s="184"/>
      <c r="I14" s="184"/>
      <c r="J14" s="184"/>
      <c r="K14" s="184"/>
      <c r="L14" s="184"/>
      <c r="M14" s="328"/>
    </row>
    <row r="15" spans="1:13" x14ac:dyDescent="0.3">
      <c r="B15" s="21" t="s">
        <v>7</v>
      </c>
      <c r="C15" s="384"/>
      <c r="D15" s="184"/>
      <c r="E15" s="184"/>
      <c r="F15" s="184"/>
      <c r="G15" s="184"/>
      <c r="H15" s="184"/>
      <c r="I15" s="184"/>
      <c r="J15" s="184"/>
      <c r="K15" s="184"/>
      <c r="L15" s="184"/>
      <c r="M15" s="328"/>
    </row>
    <row r="16" spans="1:13" x14ac:dyDescent="0.3">
      <c r="B16" s="22" t="s">
        <v>8</v>
      </c>
      <c r="C16" s="414"/>
      <c r="D16" s="184"/>
      <c r="E16" s="184"/>
      <c r="F16" s="184"/>
      <c r="G16" s="184"/>
      <c r="H16" s="184"/>
      <c r="I16" s="184"/>
      <c r="J16" s="184"/>
      <c r="K16" s="184"/>
      <c r="L16" s="184"/>
      <c r="M16" s="328"/>
    </row>
    <row r="17" spans="2:13" x14ac:dyDescent="0.3">
      <c r="B17" s="21" t="s">
        <v>9</v>
      </c>
      <c r="C17" s="384"/>
      <c r="D17" s="184"/>
      <c r="E17" s="184"/>
      <c r="F17" s="184"/>
      <c r="G17" s="184"/>
      <c r="H17" s="184"/>
      <c r="I17" s="184"/>
      <c r="J17" s="184"/>
      <c r="K17" s="184"/>
      <c r="L17" s="184"/>
      <c r="M17" s="328"/>
    </row>
    <row r="18" spans="2:13" x14ac:dyDescent="0.3">
      <c r="B18" s="21" t="s">
        <v>10</v>
      </c>
      <c r="C18" s="384"/>
      <c r="D18" s="184"/>
      <c r="E18" s="184"/>
      <c r="F18" s="184"/>
      <c r="G18" s="184"/>
      <c r="H18" s="184"/>
      <c r="I18" s="184"/>
      <c r="J18" s="184"/>
      <c r="K18" s="184"/>
      <c r="L18" s="184"/>
      <c r="M18" s="328"/>
    </row>
    <row r="19" spans="2:13" x14ac:dyDescent="0.3">
      <c r="B19" s="21" t="s">
        <v>11</v>
      </c>
      <c r="C19" s="384"/>
      <c r="D19" s="184"/>
      <c r="E19" s="184"/>
      <c r="F19" s="184"/>
      <c r="G19" s="184"/>
      <c r="H19" s="184"/>
      <c r="I19" s="184"/>
      <c r="J19" s="184"/>
      <c r="K19" s="184"/>
      <c r="L19" s="184"/>
      <c r="M19" s="328"/>
    </row>
    <row r="20" spans="2:13" x14ac:dyDescent="0.3">
      <c r="B20" s="21" t="s">
        <v>12</v>
      </c>
      <c r="C20" s="384"/>
      <c r="D20" s="184"/>
      <c r="E20" s="184"/>
      <c r="F20" s="184"/>
      <c r="G20" s="184"/>
      <c r="H20" s="184"/>
      <c r="I20" s="184"/>
      <c r="J20" s="184"/>
      <c r="K20" s="184"/>
      <c r="L20" s="184"/>
      <c r="M20" s="328"/>
    </row>
    <row r="21" spans="2:13" x14ac:dyDescent="0.3">
      <c r="B21" s="21" t="s">
        <v>13</v>
      </c>
      <c r="C21" s="384"/>
      <c r="D21" s="184"/>
      <c r="E21" s="184"/>
      <c r="F21" s="184"/>
      <c r="G21" s="184"/>
      <c r="H21" s="184"/>
      <c r="I21" s="184"/>
      <c r="J21" s="184"/>
      <c r="K21" s="184"/>
      <c r="L21" s="184"/>
      <c r="M21" s="328"/>
    </row>
    <row r="22" spans="2:13" x14ac:dyDescent="0.3">
      <c r="B22" s="21" t="s">
        <v>14</v>
      </c>
      <c r="C22" s="384"/>
      <c r="D22" s="184"/>
      <c r="E22" s="184"/>
      <c r="F22" s="184"/>
      <c r="G22" s="184"/>
      <c r="H22" s="184"/>
      <c r="I22" s="184"/>
      <c r="J22" s="184"/>
      <c r="K22" s="184"/>
      <c r="L22" s="184"/>
      <c r="M22" s="328"/>
    </row>
    <row r="23" spans="2:13" ht="20.399999999999999" x14ac:dyDescent="0.3">
      <c r="B23" s="21" t="s">
        <v>15</v>
      </c>
      <c r="C23" s="384"/>
      <c r="D23" s="184"/>
      <c r="E23" s="184"/>
      <c r="F23" s="184"/>
      <c r="G23" s="184"/>
      <c r="H23" s="184"/>
      <c r="I23" s="184"/>
      <c r="J23" s="184"/>
      <c r="K23" s="184"/>
      <c r="L23" s="184"/>
      <c r="M23" s="328"/>
    </row>
    <row r="24" spans="2:13" x14ac:dyDescent="0.3">
      <c r="B24" s="21" t="s">
        <v>16</v>
      </c>
      <c r="C24" s="384"/>
      <c r="D24" s="184"/>
      <c r="E24" s="184"/>
      <c r="F24" s="184"/>
      <c r="G24" s="184"/>
      <c r="H24" s="184"/>
      <c r="I24" s="184"/>
      <c r="J24" s="184"/>
      <c r="K24" s="184"/>
      <c r="L24" s="184"/>
      <c r="M24" s="328"/>
    </row>
    <row r="25" spans="2:13" x14ac:dyDescent="0.3">
      <c r="B25" s="21" t="s">
        <v>115</v>
      </c>
      <c r="C25" s="384"/>
      <c r="D25" s="184"/>
      <c r="E25" s="184"/>
      <c r="F25" s="184"/>
      <c r="G25" s="184"/>
      <c r="H25" s="184"/>
      <c r="I25" s="184"/>
      <c r="J25" s="184"/>
      <c r="K25" s="184"/>
      <c r="L25" s="184"/>
      <c r="M25" s="328"/>
    </row>
    <row r="26" spans="2:13" x14ac:dyDescent="0.3">
      <c r="B26" s="22" t="s">
        <v>116</v>
      </c>
      <c r="C26" s="414"/>
      <c r="D26" s="184"/>
      <c r="E26" s="184"/>
      <c r="F26" s="184"/>
      <c r="G26" s="184"/>
      <c r="H26" s="184"/>
      <c r="I26" s="184"/>
      <c r="J26" s="184"/>
      <c r="K26" s="184"/>
      <c r="L26" s="184"/>
      <c r="M26" s="328"/>
    </row>
    <row r="27" spans="2:13" ht="3.75" customHeight="1" x14ac:dyDescent="0.3">
      <c r="B27" s="22"/>
      <c r="C27" s="415"/>
      <c r="D27" s="186"/>
      <c r="E27" s="186"/>
      <c r="F27" s="186"/>
      <c r="G27" s="186"/>
      <c r="H27" s="186"/>
      <c r="I27" s="186"/>
      <c r="J27" s="186"/>
      <c r="K27" s="186"/>
      <c r="L27" s="186"/>
      <c r="M27" s="328"/>
    </row>
    <row r="28" spans="2:13" ht="26.25" customHeight="1" x14ac:dyDescent="0.3">
      <c r="B28" s="457" t="s">
        <v>283</v>
      </c>
      <c r="C28" s="458"/>
      <c r="D28" s="187" t="str">
        <f>IF(COUNT(D8:D26)=0,"",SUM(D8:D26))</f>
        <v/>
      </c>
      <c r="E28" s="187" t="str">
        <f>IF(COUNT(E8:E26)=0,"",SUM(E8:E26))</f>
        <v/>
      </c>
      <c r="F28" s="187" t="str">
        <f>IF(COUNT(F8:F26)=0,"",SUM(F8:F26))</f>
        <v/>
      </c>
      <c r="G28" s="187" t="str">
        <f t="shared" ref="G28:I28" si="1">IF(COUNT(G8:G26)=0,"",SUM(G8:G26))</f>
        <v/>
      </c>
      <c r="H28" s="187" t="str">
        <f t="shared" si="1"/>
        <v/>
      </c>
      <c r="I28" s="187" t="str">
        <f t="shared" si="1"/>
        <v/>
      </c>
      <c r="J28" s="187" t="str">
        <f>IF(COUNT(J8:J26)=0,"",SUM(J8:J26))</f>
        <v/>
      </c>
      <c r="K28" s="187" t="str">
        <f>IF(COUNT(K8:K26)=0,"",SUM(K8:K26))</f>
        <v/>
      </c>
      <c r="L28" s="187" t="str">
        <f>IF(COUNT(L8:L26)=0,"",SUM(L8:L26))</f>
        <v/>
      </c>
      <c r="M28" s="328"/>
    </row>
    <row r="29" spans="2:13" ht="4.5" customHeight="1" x14ac:dyDescent="0.3">
      <c r="B29" s="21"/>
      <c r="C29" s="416"/>
      <c r="D29" s="186"/>
      <c r="E29" s="186"/>
      <c r="F29" s="186"/>
      <c r="G29" s="186"/>
      <c r="H29" s="186"/>
      <c r="I29" s="186"/>
      <c r="J29" s="186"/>
      <c r="K29" s="186"/>
      <c r="L29" s="186"/>
      <c r="M29" s="328"/>
    </row>
    <row r="30" spans="2:13" x14ac:dyDescent="0.3">
      <c r="B30" s="21" t="s">
        <v>17</v>
      </c>
      <c r="C30" s="384"/>
      <c r="D30" s="418"/>
      <c r="E30" s="418"/>
      <c r="F30" s="418"/>
      <c r="G30" s="418"/>
      <c r="H30" s="418"/>
      <c r="I30" s="418"/>
      <c r="J30" s="418"/>
      <c r="K30" s="418"/>
      <c r="L30" s="418"/>
      <c r="M30" s="328"/>
    </row>
    <row r="31" spans="2:13" ht="20.399999999999999" x14ac:dyDescent="0.3">
      <c r="B31" s="21" t="s">
        <v>18</v>
      </c>
      <c r="C31" s="384"/>
      <c r="D31" s="418"/>
      <c r="E31" s="418"/>
      <c r="F31" s="418"/>
      <c r="G31" s="418"/>
      <c r="H31" s="418"/>
      <c r="I31" s="418"/>
      <c r="J31" s="418"/>
      <c r="K31" s="418"/>
      <c r="L31" s="418"/>
      <c r="M31" s="328"/>
    </row>
    <row r="32" spans="2:13" ht="4.5" customHeight="1" x14ac:dyDescent="0.3">
      <c r="B32" s="21"/>
      <c r="C32" s="416"/>
      <c r="D32" s="186"/>
      <c r="E32" s="186"/>
      <c r="F32" s="186"/>
      <c r="G32" s="186"/>
      <c r="H32" s="186"/>
      <c r="I32" s="186"/>
      <c r="J32" s="186"/>
      <c r="K32" s="186"/>
      <c r="L32" s="186"/>
      <c r="M32" s="328"/>
    </row>
    <row r="33" spans="1:13" x14ac:dyDescent="0.3">
      <c r="B33" s="457" t="s">
        <v>284</v>
      </c>
      <c r="C33" s="458"/>
      <c r="D33" s="187" t="str">
        <f>IF(COUNT(D28,D30:D31)=0,"",SUM(D28,D30:D31))</f>
        <v/>
      </c>
      <c r="E33" s="187" t="str">
        <f>IF(COUNT(E28,E30:E31)=0,"",SUM(E28,E30:E31))</f>
        <v/>
      </c>
      <c r="F33" s="187" t="str">
        <f>IF(COUNT(F28,F30:F31)=0,"",SUM(F28,F30:F31))</f>
        <v/>
      </c>
      <c r="G33" s="187" t="str">
        <f t="shared" ref="G33:I33" si="2">IF(COUNT(G28,G30:G31)=0,"",SUM(G28,G30:G31))</f>
        <v/>
      </c>
      <c r="H33" s="187" t="str">
        <f t="shared" si="2"/>
        <v/>
      </c>
      <c r="I33" s="187" t="str">
        <f t="shared" si="2"/>
        <v/>
      </c>
      <c r="J33" s="187" t="str">
        <f>IF(COUNT(J28,J30:J31)=0,"",SUM(J28,J30:J31))</f>
        <v/>
      </c>
      <c r="K33" s="187" t="str">
        <f>IF(COUNT(K28,K30:K31)=0,"",SUM(K28,K30:K31))</f>
        <v/>
      </c>
      <c r="L33" s="187" t="str">
        <f>IF(COUNT(L28,L30:L31)=0,"",SUM(L28,L30:L31))</f>
        <v/>
      </c>
      <c r="M33" s="328"/>
    </row>
    <row r="34" spans="1:13" ht="30.75" customHeight="1" x14ac:dyDescent="0.3">
      <c r="B34" s="458" t="s">
        <v>268</v>
      </c>
      <c r="C34" s="459"/>
      <c r="D34" s="184"/>
      <c r="E34" s="184"/>
      <c r="F34" s="184"/>
      <c r="G34" s="184"/>
      <c r="H34" s="184"/>
      <c r="I34" s="184"/>
      <c r="J34" s="184"/>
      <c r="K34" s="184"/>
      <c r="L34" s="184"/>
      <c r="M34" s="328"/>
    </row>
    <row r="35" spans="1:13" ht="15" customHeight="1" x14ac:dyDescent="0.3">
      <c r="B35" s="227"/>
      <c r="C35" s="417"/>
      <c r="D35" s="402"/>
      <c r="E35" s="402"/>
      <c r="F35" s="402"/>
      <c r="G35" s="402"/>
      <c r="H35" s="402"/>
      <c r="I35" s="402"/>
      <c r="J35" s="402"/>
      <c r="K35" s="402"/>
      <c r="L35" s="402"/>
      <c r="M35" s="328"/>
    </row>
    <row r="36" spans="1:13" ht="15" customHeight="1" x14ac:dyDescent="0.3">
      <c r="B36" s="21" t="s">
        <v>19</v>
      </c>
      <c r="C36" s="384"/>
      <c r="D36" s="184"/>
      <c r="E36" s="184"/>
      <c r="F36" s="184"/>
      <c r="G36" s="184"/>
      <c r="H36" s="184"/>
      <c r="I36" s="184"/>
      <c r="J36" s="184"/>
      <c r="K36" s="184"/>
      <c r="L36" s="184"/>
      <c r="M36" s="328"/>
    </row>
    <row r="37" spans="1:13" x14ac:dyDescent="0.3">
      <c r="B37" s="21" t="s">
        <v>20</v>
      </c>
      <c r="C37" s="384"/>
      <c r="D37" s="184"/>
      <c r="E37" s="184"/>
      <c r="F37" s="184"/>
      <c r="G37" s="184"/>
      <c r="H37" s="184"/>
      <c r="I37" s="184"/>
      <c r="J37" s="184"/>
      <c r="K37" s="184"/>
      <c r="L37" s="184"/>
      <c r="M37" s="328"/>
    </row>
    <row r="38" spans="1:13" ht="4.5" customHeight="1" x14ac:dyDescent="0.3">
      <c r="B38" s="21"/>
      <c r="C38" s="416"/>
      <c r="D38" s="186"/>
      <c r="E38" s="186"/>
      <c r="F38" s="186"/>
      <c r="G38" s="186"/>
      <c r="H38" s="186"/>
      <c r="I38" s="186"/>
      <c r="J38" s="186"/>
      <c r="K38" s="186"/>
      <c r="L38" s="186"/>
      <c r="M38" s="328"/>
    </row>
    <row r="39" spans="1:13" x14ac:dyDescent="0.3">
      <c r="B39" s="457" t="s">
        <v>21</v>
      </c>
      <c r="C39" s="458"/>
      <c r="D39" s="187" t="str">
        <f>IF(COUNT(D33,D36:D37)=0,"",SUM(D33,D36:D37))</f>
        <v/>
      </c>
      <c r="E39" s="187" t="str">
        <f t="shared" ref="E39:L39" si="3">IF(COUNT(E33,E36:E37)=0,"",SUM(E33,E36:E37))</f>
        <v/>
      </c>
      <c r="F39" s="187" t="str">
        <f t="shared" si="3"/>
        <v/>
      </c>
      <c r="G39" s="187" t="str">
        <f t="shared" si="3"/>
        <v/>
      </c>
      <c r="H39" s="187" t="str">
        <f t="shared" si="3"/>
        <v/>
      </c>
      <c r="I39" s="187" t="str">
        <f t="shared" si="3"/>
        <v/>
      </c>
      <c r="J39" s="187" t="str">
        <f t="shared" si="3"/>
        <v/>
      </c>
      <c r="K39" s="187" t="str">
        <f t="shared" si="3"/>
        <v/>
      </c>
      <c r="L39" s="187" t="str">
        <f t="shared" si="3"/>
        <v/>
      </c>
      <c r="M39" s="328"/>
    </row>
    <row r="40" spans="1:13" ht="4.5" customHeight="1" x14ac:dyDescent="0.3">
      <c r="B40" s="21"/>
      <c r="C40" s="416"/>
      <c r="D40" s="186"/>
      <c r="E40" s="186"/>
      <c r="F40" s="186"/>
      <c r="G40" s="186"/>
      <c r="H40" s="186"/>
      <c r="I40" s="186"/>
      <c r="J40" s="186"/>
      <c r="K40" s="186"/>
      <c r="L40" s="186"/>
      <c r="M40" s="328"/>
    </row>
    <row r="41" spans="1:13" x14ac:dyDescent="0.3">
      <c r="B41" s="21" t="s">
        <v>22</v>
      </c>
      <c r="C41" s="384"/>
      <c r="D41" s="184"/>
      <c r="E41" s="184"/>
      <c r="F41" s="184"/>
      <c r="G41" s="184"/>
      <c r="H41" s="184"/>
      <c r="I41" s="184"/>
      <c r="J41" s="184"/>
      <c r="K41" s="184"/>
      <c r="L41" s="184"/>
      <c r="M41" s="328"/>
    </row>
    <row r="42" spans="1:13" ht="4.5" customHeight="1" x14ac:dyDescent="0.3">
      <c r="B42" s="21"/>
      <c r="C42" s="384"/>
      <c r="D42" s="188"/>
      <c r="E42" s="188"/>
      <c r="F42" s="188"/>
      <c r="G42" s="188"/>
      <c r="H42" s="188"/>
      <c r="I42" s="188"/>
      <c r="J42" s="188"/>
      <c r="K42" s="188"/>
      <c r="L42" s="188"/>
      <c r="M42" s="328"/>
    </row>
    <row r="43" spans="1:13" x14ac:dyDescent="0.3">
      <c r="B43" s="457" t="s">
        <v>23</v>
      </c>
      <c r="C43" s="458"/>
      <c r="D43" s="187">
        <f>SUM(D39,D41,)</f>
        <v>0</v>
      </c>
      <c r="E43" s="187">
        <f>SUM(E39,E41,)</f>
        <v>0</v>
      </c>
      <c r="F43" s="187">
        <f>SUM(F39,F41,)</f>
        <v>0</v>
      </c>
      <c r="G43" s="187">
        <f t="shared" ref="G43:I43" si="4">SUM(G39,G41,)</f>
        <v>0</v>
      </c>
      <c r="H43" s="187">
        <f t="shared" si="4"/>
        <v>0</v>
      </c>
      <c r="I43" s="187">
        <f t="shared" si="4"/>
        <v>0</v>
      </c>
      <c r="J43" s="187">
        <f>SUM(J39,J41,)</f>
        <v>0</v>
      </c>
      <c r="K43" s="187">
        <f>SUM(K39,K41,)</f>
        <v>0</v>
      </c>
      <c r="L43" s="187">
        <f>SUM(L39,L41,)</f>
        <v>0</v>
      </c>
      <c r="M43" s="328"/>
    </row>
    <row r="44" spans="1:13" x14ac:dyDescent="0.3">
      <c r="B44" s="4"/>
      <c r="C44" s="4"/>
      <c r="D44" s="189"/>
      <c r="E44" s="189"/>
      <c r="F44" s="189"/>
      <c r="G44" s="190"/>
      <c r="H44" s="190"/>
      <c r="I44" s="190"/>
      <c r="J44" s="190"/>
      <c r="K44" s="190"/>
      <c r="L44" s="190"/>
      <c r="M44" s="328"/>
    </row>
    <row r="45" spans="1:13" x14ac:dyDescent="0.3">
      <c r="A45" s="220">
        <f>+SUM(D45:L45)</f>
        <v>0</v>
      </c>
      <c r="B45" s="175" t="s">
        <v>231</v>
      </c>
      <c r="C45" s="175"/>
      <c r="D45" s="265">
        <f t="shared" ref="D45:L45" si="5">RL_2023-RL_Bal_2023</f>
        <v>0</v>
      </c>
      <c r="E45" s="266">
        <f t="shared" si="5"/>
        <v>0</v>
      </c>
      <c r="F45" s="266">
        <f t="shared" si="5"/>
        <v>0</v>
      </c>
      <c r="G45" s="266">
        <f t="shared" si="5"/>
        <v>0</v>
      </c>
      <c r="H45" s="266">
        <f t="shared" si="5"/>
        <v>0</v>
      </c>
      <c r="I45" s="266">
        <f t="shared" si="5"/>
        <v>0</v>
      </c>
      <c r="J45" s="266">
        <f t="shared" si="5"/>
        <v>0</v>
      </c>
      <c r="K45" s="266">
        <f t="shared" si="5"/>
        <v>0</v>
      </c>
      <c r="L45" s="327">
        <f t="shared" si="5"/>
        <v>0</v>
      </c>
      <c r="M45" s="328"/>
    </row>
    <row r="46" spans="1:13" x14ac:dyDescent="0.3">
      <c r="D46" s="190"/>
      <c r="E46" s="190"/>
      <c r="F46" s="190"/>
      <c r="G46" s="190"/>
      <c r="H46" s="190"/>
      <c r="I46" s="190"/>
      <c r="J46" s="190"/>
      <c r="K46" s="190"/>
      <c r="L46" s="190"/>
      <c r="M46" s="328"/>
    </row>
    <row r="47" spans="1:13" hidden="1" x14ac:dyDescent="0.3"/>
  </sheetData>
  <sheetProtection sheet="1" selectLockedCells="1"/>
  <dataConsolidate link="1"/>
  <mergeCells count="8">
    <mergeCell ref="B28:C28"/>
    <mergeCell ref="B33:C33"/>
    <mergeCell ref="B39:C39"/>
    <mergeCell ref="B43:C43"/>
    <mergeCell ref="B1:L1"/>
    <mergeCell ref="B5:B6"/>
    <mergeCell ref="C5:C6"/>
    <mergeCell ref="B34:C34"/>
  </mergeCells>
  <dataValidations count="5">
    <dataValidation type="custom" allowBlank="1" showInputMessage="1" showErrorMessage="1" errorTitle="Erro" error="Não introduzir dados nesta célula" sqref="B1:B4 B7 M3 A46:L46 A1:A44 D7:I7 M46:M1048576 M8:M44 C4:C7 B38:C40 B29:C29 B27:C27 B35:L35 J6:J7 D38:L38 B32:L32 D40:L40 D28:L29 C3:J3 C1:M2 K4:M7 D4:J4 B42:C44 D43:L44 N8:XFD1048576" xr:uid="{00000000-0002-0000-0400-000000000000}">
      <formula1>"&lt;&gt;"""""</formula1>
    </dataValidation>
    <dataValidation type="custom" allowBlank="1" showErrorMessage="1" errorTitle="Erro" error="Não introduzir dados nesta célula" promptTitle="Alerta" sqref="B5:B6" xr:uid="{00000000-0002-0000-0400-000001000000}">
      <formula1>"&lt;&gt;"""""</formula1>
    </dataValidation>
    <dataValidation allowBlank="1" showInputMessage="1" showErrorMessage="1" errorTitle="Erro" error="Não introduzir dados nesta célula" sqref="G5:J5 E6:I6 D5:F6 B34 B28:C28 B33:C33 A45:M45" xr:uid="{00000000-0002-0000-0400-000002000000}"/>
    <dataValidation allowBlank="1" showInputMessage="1" showErrorMessage="1" error="Campo numérico. Introduzir valor." sqref="D42:L42 D30:L31 D27:L27" xr:uid="{00000000-0002-0000-0400-000003000000}"/>
    <dataValidation type="decimal" allowBlank="1" showInputMessage="1" showErrorMessage="1" errorTitle="Validação" error="Campo numérico. Introduzir valor." sqref="D34:L34 D36:L37 D41:L41 D8:L26" xr:uid="{00000000-0002-0000-0400-000004000000}">
      <formula1>-1E+22</formula1>
      <formula2>1E+22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6">
    <tabColor theme="5" tint="0.59999389629810485"/>
  </sheetPr>
  <dimension ref="A1:N58"/>
  <sheetViews>
    <sheetView showGridLines="0" workbookViewId="0">
      <pane ySplit="6" topLeftCell="A7" activePane="bottomLeft" state="frozen"/>
      <selection pane="bottomLeft" activeCell="C5" sqref="C5:C6"/>
    </sheetView>
  </sheetViews>
  <sheetFormatPr defaultColWidth="0" defaultRowHeight="14.4" zeroHeight="1" x14ac:dyDescent="0.3"/>
  <cols>
    <col min="1" max="1" width="4.109375" style="36" customWidth="1"/>
    <col min="2" max="2" width="49" customWidth="1"/>
    <col min="3" max="3" width="5.44140625" bestFit="1" customWidth="1"/>
    <col min="4" max="12" width="19.6640625" customWidth="1"/>
    <col min="13" max="13" width="6.33203125" customWidth="1"/>
    <col min="14" max="14" width="0" hidden="1" customWidth="1"/>
    <col min="15" max="16384" width="9.109375" hidden="1"/>
  </cols>
  <sheetData>
    <row r="1" spans="1:13" ht="14.4" customHeight="1" x14ac:dyDescent="0.3"/>
    <row r="2" spans="1:13" x14ac:dyDescent="0.3"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3" ht="15.6" x14ac:dyDescent="0.3">
      <c r="B3" s="405" t="s">
        <v>347</v>
      </c>
      <c r="C3" s="30"/>
      <c r="D3" s="26"/>
      <c r="E3" s="26"/>
      <c r="F3" s="26"/>
      <c r="G3" s="26"/>
      <c r="H3" s="26"/>
      <c r="I3" s="26"/>
      <c r="J3" s="26"/>
    </row>
    <row r="4" spans="1:13" ht="15.6" x14ac:dyDescent="0.3">
      <c r="B4" s="29"/>
      <c r="C4" s="30"/>
      <c r="D4" s="30"/>
      <c r="E4" s="30"/>
      <c r="F4" s="30"/>
      <c r="G4" s="30"/>
      <c r="H4" s="30"/>
      <c r="I4" s="30"/>
      <c r="J4" s="30"/>
      <c r="K4" s="26" t="s">
        <v>147</v>
      </c>
      <c r="L4" s="25"/>
    </row>
    <row r="5" spans="1:13" ht="14.4" customHeight="1" x14ac:dyDescent="0.3">
      <c r="B5" s="453" t="s">
        <v>28</v>
      </c>
      <c r="C5" s="460" t="s">
        <v>2</v>
      </c>
      <c r="D5" s="389">
        <f>IF(Instruções!C10="","",IF(ISERROR(Instruções!C10),"",Instruções!C10-1))</f>
        <v>2023</v>
      </c>
      <c r="E5" s="389">
        <f>IF(Instruções!$C$10="","",IF(ISERROR(Instruções!$C$10),"",Instruções!$C$10))</f>
        <v>2024</v>
      </c>
      <c r="F5" s="389">
        <f>IF(Instruções!$C$10="","",IF(ISERROR(Instruções!$C$10),"",Instruções!$C$10))</f>
        <v>2024</v>
      </c>
      <c r="G5" s="362" t="str">
        <f>IF(Instruções!$C$10="","",IF(ISERROR(Instruções!$C$10),"","1.ºT"&amp;Instruções!$C$10+1))</f>
        <v>1.ºT2025</v>
      </c>
      <c r="H5" s="362" t="str">
        <f>IF(Instruções!$C$10="","",IF(ISERROR(Instruções!$C$10),"","2.ºT"&amp;Instruções!$C$10+1))</f>
        <v>2.ºT2025</v>
      </c>
      <c r="I5" s="362" t="str">
        <f>IF(Instruções!$C$10="","",IF(ISERROR(Instruções!$C$10),"","3.ºT"&amp;Instruções!$C$10+1))</f>
        <v>3.ºT2025</v>
      </c>
      <c r="J5" s="362" t="str">
        <f>IF(Instruções!$C$10="","",IF(ISERROR(Instruções!$C$10),"","4.ºT"&amp;Instruções!$C$10+1))</f>
        <v>4.ºT2025</v>
      </c>
      <c r="K5" s="362">
        <f>IF(Instruções!C10="","",IF(ISERROR(Instruções!C10),"",Instruções!C10+2))</f>
        <v>2026</v>
      </c>
      <c r="L5" s="362">
        <f>IF(Instruções!C10="","",IF(ISERROR(Instruções!C10),"",Instruções!C10+3))</f>
        <v>2027</v>
      </c>
    </row>
    <row r="6" spans="1:13" ht="15" customHeight="1" x14ac:dyDescent="0.3">
      <c r="B6" s="453"/>
      <c r="C6" s="460"/>
      <c r="D6" s="11" t="str">
        <f>IF(D5="","","Execução")</f>
        <v>Execução</v>
      </c>
      <c r="E6" s="11" t="str">
        <f>IF(D5="","","PAO")</f>
        <v>PAO</v>
      </c>
      <c r="F6" s="11" t="str">
        <f>IF(D5="","","Estimativa")</f>
        <v>Estimativa</v>
      </c>
      <c r="G6" s="47" t="str">
        <f>IF($F$5="","","Previsão")</f>
        <v>Previsão</v>
      </c>
      <c r="H6" s="47" t="str">
        <f t="shared" ref="H6:I6" si="0">IF($F$5="","","Previsão")</f>
        <v>Previsão</v>
      </c>
      <c r="I6" s="47" t="str">
        <f t="shared" si="0"/>
        <v>Previsão</v>
      </c>
      <c r="J6" s="47" t="str">
        <f>IF(F5="","","Previsão")</f>
        <v>Previsão</v>
      </c>
      <c r="K6" s="47" t="str">
        <f>IF(J5="","","Previsão")</f>
        <v>Previsão</v>
      </c>
      <c r="L6" s="47" t="str">
        <f>IF(K5="","","Previsão")</f>
        <v>Previsão</v>
      </c>
    </row>
    <row r="7" spans="1:13" ht="3.75" customHeight="1" x14ac:dyDescent="0.3">
      <c r="A7" s="329"/>
      <c r="B7" s="329"/>
      <c r="C7" s="329"/>
      <c r="D7" s="60"/>
      <c r="E7" s="60"/>
      <c r="F7" s="60"/>
      <c r="G7" s="60"/>
      <c r="H7" s="60"/>
      <c r="I7" s="60"/>
      <c r="J7" s="60"/>
      <c r="K7" s="60"/>
      <c r="L7" s="60"/>
      <c r="M7" s="326"/>
    </row>
    <row r="8" spans="1:13" ht="15" customHeight="1" x14ac:dyDescent="0.3">
      <c r="B8" s="455" t="s">
        <v>78</v>
      </c>
      <c r="C8" s="456"/>
      <c r="D8" s="12"/>
      <c r="E8" s="12"/>
      <c r="F8" s="12"/>
      <c r="G8" s="12"/>
      <c r="H8" s="12"/>
      <c r="I8" s="12"/>
      <c r="J8" s="12"/>
      <c r="K8" s="12"/>
      <c r="L8" s="12"/>
    </row>
    <row r="9" spans="1:13" x14ac:dyDescent="0.3">
      <c r="B9" s="21" t="s">
        <v>79</v>
      </c>
      <c r="C9" s="384" t="s">
        <v>34</v>
      </c>
      <c r="D9" s="184"/>
      <c r="E9" s="184"/>
      <c r="F9" s="184"/>
      <c r="G9" s="184"/>
      <c r="H9" s="184"/>
      <c r="I9" s="184"/>
      <c r="J9" s="184"/>
      <c r="K9" s="184"/>
      <c r="L9" s="184"/>
    </row>
    <row r="10" spans="1:13" x14ac:dyDescent="0.3">
      <c r="B10" s="21" t="s">
        <v>80</v>
      </c>
      <c r="C10" s="384"/>
      <c r="D10" s="184"/>
      <c r="E10" s="184"/>
      <c r="F10" s="184"/>
      <c r="G10" s="184"/>
      <c r="H10" s="184"/>
      <c r="I10" s="184"/>
      <c r="J10" s="184"/>
      <c r="K10" s="184"/>
      <c r="L10" s="184"/>
    </row>
    <row r="11" spans="1:13" x14ac:dyDescent="0.3">
      <c r="B11" s="21" t="s">
        <v>81</v>
      </c>
      <c r="C11" s="384"/>
      <c r="D11" s="184"/>
      <c r="E11" s="184"/>
      <c r="F11" s="184"/>
      <c r="G11" s="184"/>
      <c r="H11" s="184"/>
      <c r="I11" s="184"/>
      <c r="J11" s="184"/>
      <c r="K11" s="184"/>
      <c r="L11" s="184"/>
    </row>
    <row r="12" spans="1:13" x14ac:dyDescent="0.3">
      <c r="B12" s="21" t="s">
        <v>82</v>
      </c>
      <c r="C12" s="384" t="s">
        <v>34</v>
      </c>
      <c r="D12" s="184"/>
      <c r="E12" s="184"/>
      <c r="F12" s="184"/>
      <c r="G12" s="184"/>
      <c r="H12" s="184"/>
      <c r="I12" s="184"/>
      <c r="J12" s="184"/>
      <c r="K12" s="184"/>
      <c r="L12" s="184"/>
    </row>
    <row r="13" spans="1:13" x14ac:dyDescent="0.3">
      <c r="B13" s="21" t="s">
        <v>83</v>
      </c>
      <c r="C13" s="384" t="s">
        <v>34</v>
      </c>
      <c r="D13" s="184"/>
      <c r="E13" s="184"/>
      <c r="F13" s="184"/>
      <c r="G13" s="184"/>
      <c r="H13" s="184"/>
      <c r="I13" s="184"/>
      <c r="J13" s="184"/>
      <c r="K13" s="184"/>
      <c r="L13" s="184"/>
    </row>
    <row r="14" spans="1:13" x14ac:dyDescent="0.3">
      <c r="B14" s="31" t="s">
        <v>84</v>
      </c>
      <c r="C14" s="31"/>
      <c r="D14" s="419">
        <f>SUM(D9:D13)</f>
        <v>0</v>
      </c>
      <c r="E14" s="419">
        <f>SUM(E9:E13)</f>
        <v>0</v>
      </c>
      <c r="F14" s="419">
        <f>SUM(F9:F13)</f>
        <v>0</v>
      </c>
      <c r="G14" s="419">
        <f t="shared" ref="G14:I14" si="1">SUM(G9:G13)</f>
        <v>0</v>
      </c>
      <c r="H14" s="419">
        <f t="shared" si="1"/>
        <v>0</v>
      </c>
      <c r="I14" s="419">
        <f t="shared" si="1"/>
        <v>0</v>
      </c>
      <c r="J14" s="419">
        <f>SUM(J9:J13)</f>
        <v>0</v>
      </c>
      <c r="K14" s="419">
        <f>SUM(K9:K13)</f>
        <v>0</v>
      </c>
      <c r="L14" s="419">
        <f>SUM(L9:L13)</f>
        <v>0</v>
      </c>
    </row>
    <row r="15" spans="1:13" x14ac:dyDescent="0.3">
      <c r="B15" s="32" t="s">
        <v>85</v>
      </c>
      <c r="C15" s="384" t="s">
        <v>34</v>
      </c>
      <c r="D15" s="184"/>
      <c r="E15" s="184"/>
      <c r="F15" s="184"/>
      <c r="G15" s="184"/>
      <c r="H15" s="184"/>
      <c r="I15" s="184"/>
      <c r="J15" s="184"/>
      <c r="K15" s="184"/>
      <c r="L15" s="184"/>
    </row>
    <row r="16" spans="1:13" x14ac:dyDescent="0.3">
      <c r="B16" s="33" t="s">
        <v>86</v>
      </c>
      <c r="C16" s="33"/>
      <c r="D16" s="420">
        <f>D14+D15</f>
        <v>0</v>
      </c>
      <c r="E16" s="420">
        <f>E14+E15</f>
        <v>0</v>
      </c>
      <c r="F16" s="420">
        <f>F14+F15</f>
        <v>0</v>
      </c>
      <c r="G16" s="420">
        <f t="shared" ref="G16:I16" si="2">G14+G15</f>
        <v>0</v>
      </c>
      <c r="H16" s="420">
        <f t="shared" si="2"/>
        <v>0</v>
      </c>
      <c r="I16" s="420">
        <f t="shared" si="2"/>
        <v>0</v>
      </c>
      <c r="J16" s="420">
        <f>J14+J15</f>
        <v>0</v>
      </c>
      <c r="K16" s="420">
        <f>K14+K15</f>
        <v>0</v>
      </c>
      <c r="L16" s="420">
        <f>L14+L15</f>
        <v>0</v>
      </c>
    </row>
    <row r="17" spans="1:12" ht="3.75" customHeight="1" x14ac:dyDescent="0.3">
      <c r="B17" s="33"/>
      <c r="C17" s="33"/>
      <c r="D17" s="23"/>
      <c r="E17" s="23"/>
      <c r="F17" s="23"/>
      <c r="G17" s="23"/>
      <c r="H17" s="23"/>
      <c r="I17" s="23"/>
      <c r="J17" s="23"/>
      <c r="K17" s="23"/>
      <c r="L17" s="23"/>
    </row>
    <row r="18" spans="1:12" x14ac:dyDescent="0.3">
      <c r="B18" s="461" t="s">
        <v>87</v>
      </c>
      <c r="C18" s="456"/>
      <c r="D18" s="12"/>
      <c r="E18" s="12"/>
      <c r="F18" s="12"/>
      <c r="G18" s="12"/>
      <c r="H18" s="12"/>
      <c r="I18" s="12"/>
      <c r="J18" s="12"/>
      <c r="K18" s="12"/>
      <c r="L18" s="12"/>
    </row>
    <row r="19" spans="1:12" s="35" customFormat="1" x14ac:dyDescent="0.3">
      <c r="A19" s="37"/>
      <c r="B19" s="34" t="s">
        <v>88</v>
      </c>
      <c r="C19" s="34"/>
      <c r="D19" s="331"/>
      <c r="E19" s="331"/>
      <c r="F19" s="331"/>
      <c r="G19" s="331"/>
      <c r="H19" s="331"/>
      <c r="I19" s="331"/>
      <c r="J19" s="331"/>
      <c r="K19" s="331"/>
      <c r="L19" s="331"/>
    </row>
    <row r="20" spans="1:12" x14ac:dyDescent="0.3">
      <c r="B20" s="21" t="s">
        <v>89</v>
      </c>
      <c r="C20" s="384" t="s">
        <v>34</v>
      </c>
      <c r="D20" s="184"/>
      <c r="E20" s="184"/>
      <c r="F20" s="184"/>
      <c r="G20" s="184"/>
      <c r="H20" s="184"/>
      <c r="I20" s="184"/>
      <c r="J20" s="184"/>
      <c r="K20" s="184"/>
      <c r="L20" s="184"/>
    </row>
    <row r="21" spans="1:12" x14ac:dyDescent="0.3">
      <c r="B21" s="21" t="s">
        <v>90</v>
      </c>
      <c r="C21" s="384" t="s">
        <v>34</v>
      </c>
      <c r="D21" s="184"/>
      <c r="E21" s="184"/>
      <c r="F21" s="184"/>
      <c r="G21" s="184"/>
      <c r="H21" s="184"/>
      <c r="I21" s="184"/>
      <c r="J21" s="184"/>
      <c r="K21" s="184"/>
      <c r="L21" s="184"/>
    </row>
    <row r="22" spans="1:12" x14ac:dyDescent="0.3">
      <c r="B22" s="21" t="s">
        <v>91</v>
      </c>
      <c r="C22" s="384"/>
      <c r="D22" s="184"/>
      <c r="E22" s="184"/>
      <c r="F22" s="184"/>
      <c r="G22" s="184"/>
      <c r="H22" s="184"/>
      <c r="I22" s="184"/>
      <c r="J22" s="184"/>
      <c r="K22" s="184"/>
      <c r="L22" s="184"/>
    </row>
    <row r="23" spans="1:12" x14ac:dyDescent="0.3">
      <c r="B23" s="21" t="s">
        <v>92</v>
      </c>
      <c r="C23" s="384" t="s">
        <v>34</v>
      </c>
      <c r="D23" s="184"/>
      <c r="E23" s="184"/>
      <c r="F23" s="184"/>
      <c r="G23" s="184"/>
      <c r="H23" s="184"/>
      <c r="I23" s="184"/>
      <c r="J23" s="184"/>
      <c r="K23" s="184"/>
      <c r="L23" s="184"/>
    </row>
    <row r="24" spans="1:12" x14ac:dyDescent="0.3">
      <c r="B24" s="21" t="s">
        <v>93</v>
      </c>
      <c r="C24" s="384" t="s">
        <v>34</v>
      </c>
      <c r="D24" s="184"/>
      <c r="E24" s="184"/>
      <c r="F24" s="184"/>
      <c r="G24" s="184"/>
      <c r="H24" s="184"/>
      <c r="I24" s="184"/>
      <c r="J24" s="184"/>
      <c r="K24" s="184"/>
      <c r="L24" s="184"/>
    </row>
    <row r="25" spans="1:12" s="35" customFormat="1" x14ac:dyDescent="0.3">
      <c r="A25" s="37"/>
      <c r="B25" s="34" t="s">
        <v>94</v>
      </c>
      <c r="C25" s="34"/>
      <c r="D25" s="330"/>
      <c r="E25" s="330"/>
      <c r="F25" s="330"/>
      <c r="G25" s="330"/>
      <c r="H25" s="330"/>
      <c r="I25" s="330"/>
      <c r="J25" s="330"/>
      <c r="K25" s="330"/>
      <c r="L25" s="330"/>
    </row>
    <row r="26" spans="1:12" x14ac:dyDescent="0.3">
      <c r="B26" s="21" t="s">
        <v>89</v>
      </c>
      <c r="C26" s="384" t="s">
        <v>34</v>
      </c>
      <c r="D26" s="184"/>
      <c r="E26" s="184"/>
      <c r="F26" s="184"/>
      <c r="G26" s="184"/>
      <c r="H26" s="184"/>
      <c r="I26" s="184"/>
      <c r="J26" s="184"/>
      <c r="K26" s="184"/>
      <c r="L26" s="184"/>
    </row>
    <row r="27" spans="1:12" x14ac:dyDescent="0.3">
      <c r="B27" s="21" t="s">
        <v>90</v>
      </c>
      <c r="C27" s="384" t="s">
        <v>34</v>
      </c>
      <c r="D27" s="184"/>
      <c r="E27" s="184"/>
      <c r="F27" s="184"/>
      <c r="G27" s="184"/>
      <c r="H27" s="184"/>
      <c r="I27" s="184"/>
      <c r="J27" s="184"/>
      <c r="K27" s="184"/>
      <c r="L27" s="184"/>
    </row>
    <row r="28" spans="1:12" x14ac:dyDescent="0.3">
      <c r="B28" s="21" t="s">
        <v>91</v>
      </c>
      <c r="C28" s="384"/>
      <c r="D28" s="184"/>
      <c r="E28" s="184"/>
      <c r="F28" s="184"/>
      <c r="G28" s="184"/>
      <c r="H28" s="184"/>
      <c r="I28" s="184"/>
      <c r="J28" s="184"/>
      <c r="K28" s="184"/>
      <c r="L28" s="184"/>
    </row>
    <row r="29" spans="1:12" x14ac:dyDescent="0.3">
      <c r="B29" s="21" t="s">
        <v>92</v>
      </c>
      <c r="C29" s="384" t="s">
        <v>34</v>
      </c>
      <c r="D29" s="184"/>
      <c r="E29" s="184"/>
      <c r="F29" s="184"/>
      <c r="G29" s="184"/>
      <c r="H29" s="184"/>
      <c r="I29" s="184"/>
      <c r="J29" s="184"/>
      <c r="K29" s="184"/>
      <c r="L29" s="184"/>
    </row>
    <row r="30" spans="1:12" x14ac:dyDescent="0.3">
      <c r="B30" s="21" t="s">
        <v>93</v>
      </c>
      <c r="C30" s="384" t="s">
        <v>34</v>
      </c>
      <c r="D30" s="184"/>
      <c r="E30" s="184"/>
      <c r="F30" s="184"/>
      <c r="G30" s="184"/>
      <c r="H30" s="184"/>
      <c r="I30" s="184"/>
      <c r="J30" s="184"/>
      <c r="K30" s="184"/>
      <c r="L30" s="184"/>
    </row>
    <row r="31" spans="1:12" x14ac:dyDescent="0.3">
      <c r="B31" s="21" t="s">
        <v>95</v>
      </c>
      <c r="C31" s="384" t="s">
        <v>34</v>
      </c>
      <c r="D31" s="184"/>
      <c r="E31" s="184"/>
      <c r="F31" s="184"/>
      <c r="G31" s="184"/>
      <c r="H31" s="184"/>
      <c r="I31" s="184"/>
      <c r="J31" s="184"/>
      <c r="K31" s="184"/>
      <c r="L31" s="184"/>
    </row>
    <row r="32" spans="1:12" x14ac:dyDescent="0.3">
      <c r="B32" s="21" t="s">
        <v>96</v>
      </c>
      <c r="C32" s="384"/>
      <c r="D32" s="184"/>
      <c r="E32" s="184"/>
      <c r="F32" s="184"/>
      <c r="G32" s="184"/>
      <c r="H32" s="184"/>
      <c r="I32" s="184"/>
      <c r="J32" s="184"/>
      <c r="K32" s="184"/>
      <c r="L32" s="184"/>
    </row>
    <row r="33" spans="1:12" x14ac:dyDescent="0.3">
      <c r="B33" s="21" t="s">
        <v>97</v>
      </c>
      <c r="C33" s="384" t="s">
        <v>34</v>
      </c>
      <c r="D33" s="184"/>
      <c r="E33" s="184"/>
      <c r="F33" s="184"/>
      <c r="G33" s="184"/>
      <c r="H33" s="184"/>
      <c r="I33" s="184"/>
      <c r="J33" s="184"/>
      <c r="K33" s="184"/>
      <c r="L33" s="184"/>
    </row>
    <row r="34" spans="1:12" x14ac:dyDescent="0.3">
      <c r="B34" s="21" t="s">
        <v>98</v>
      </c>
      <c r="C34" s="384" t="s">
        <v>34</v>
      </c>
      <c r="D34" s="184"/>
      <c r="E34" s="184"/>
      <c r="F34" s="184"/>
      <c r="G34" s="184"/>
      <c r="H34" s="184"/>
      <c r="I34" s="184"/>
      <c r="J34" s="184"/>
      <c r="K34" s="184"/>
      <c r="L34" s="184"/>
    </row>
    <row r="35" spans="1:12" x14ac:dyDescent="0.3">
      <c r="B35" s="33" t="s">
        <v>99</v>
      </c>
      <c r="C35" s="33"/>
      <c r="D35" s="333">
        <f>SUM(D20:D24,D26:D34)</f>
        <v>0</v>
      </c>
      <c r="E35" s="333">
        <f>SUM(E20:E24,E26:E34)</f>
        <v>0</v>
      </c>
      <c r="F35" s="333">
        <f>SUM(F20:F24,F26:F34)</f>
        <v>0</v>
      </c>
      <c r="G35" s="333">
        <f t="shared" ref="G35:I35" si="3">SUM(G20:G24,G26:G34)</f>
        <v>0</v>
      </c>
      <c r="H35" s="333">
        <f t="shared" si="3"/>
        <v>0</v>
      </c>
      <c r="I35" s="333">
        <f t="shared" si="3"/>
        <v>0</v>
      </c>
      <c r="J35" s="333">
        <f>SUM(J20:J24,J26:J34)</f>
        <v>0</v>
      </c>
      <c r="K35" s="333">
        <f>SUM(K20:K24,K26:K34)</f>
        <v>0</v>
      </c>
      <c r="L35" s="333">
        <f>SUM(L20:L24,L26:L34)</f>
        <v>0</v>
      </c>
    </row>
    <row r="36" spans="1:12" ht="3.75" customHeight="1" x14ac:dyDescent="0.3">
      <c r="B36" s="33"/>
      <c r="C36" s="33"/>
      <c r="D36" s="23"/>
      <c r="E36" s="23"/>
      <c r="F36" s="23"/>
      <c r="G36" s="23"/>
      <c r="H36" s="23"/>
      <c r="I36" s="23"/>
      <c r="J36" s="23"/>
      <c r="K36" s="23"/>
      <c r="L36" s="23"/>
    </row>
    <row r="37" spans="1:12" x14ac:dyDescent="0.3">
      <c r="B37" s="455" t="s">
        <v>100</v>
      </c>
      <c r="C37" s="456"/>
      <c r="D37" s="174"/>
      <c r="E37" s="174"/>
      <c r="F37" s="174"/>
      <c r="G37" s="174"/>
      <c r="H37" s="174"/>
      <c r="I37" s="174"/>
      <c r="J37" s="174"/>
      <c r="K37" s="174"/>
      <c r="L37" s="174"/>
    </row>
    <row r="38" spans="1:12" s="35" customFormat="1" x14ac:dyDescent="0.3">
      <c r="A38" s="37"/>
      <c r="B38" s="34" t="s">
        <v>94</v>
      </c>
      <c r="C38" s="34"/>
      <c r="D38" s="331"/>
      <c r="E38" s="331"/>
      <c r="F38" s="331"/>
      <c r="G38" s="331"/>
      <c r="H38" s="331"/>
      <c r="I38" s="331"/>
      <c r="J38" s="331"/>
      <c r="K38" s="331"/>
      <c r="L38" s="331"/>
    </row>
    <row r="39" spans="1:12" x14ac:dyDescent="0.3">
      <c r="B39" s="21" t="s">
        <v>101</v>
      </c>
      <c r="C39" s="384" t="s">
        <v>34</v>
      </c>
      <c r="D39" s="184"/>
      <c r="E39" s="184"/>
      <c r="F39" s="184"/>
      <c r="G39" s="184"/>
      <c r="H39" s="184"/>
      <c r="I39" s="184"/>
      <c r="J39" s="184"/>
      <c r="K39" s="184"/>
      <c r="L39" s="184"/>
    </row>
    <row r="40" spans="1:12" x14ac:dyDescent="0.3">
      <c r="B40" s="21" t="s">
        <v>102</v>
      </c>
      <c r="C40" s="384" t="s">
        <v>34</v>
      </c>
      <c r="D40" s="184"/>
      <c r="E40" s="184"/>
      <c r="F40" s="184"/>
      <c r="G40" s="184"/>
      <c r="H40" s="184"/>
      <c r="I40" s="184"/>
      <c r="J40" s="184"/>
      <c r="K40" s="184"/>
      <c r="L40" s="184"/>
    </row>
    <row r="41" spans="1:12" x14ac:dyDescent="0.3">
      <c r="B41" s="21" t="s">
        <v>103</v>
      </c>
      <c r="C41" s="384" t="s">
        <v>34</v>
      </c>
      <c r="D41" s="184"/>
      <c r="E41" s="184"/>
      <c r="F41" s="184"/>
      <c r="G41" s="184"/>
      <c r="H41" s="184"/>
      <c r="I41" s="184"/>
      <c r="J41" s="184"/>
      <c r="K41" s="184"/>
      <c r="L41" s="184"/>
    </row>
    <row r="42" spans="1:12" x14ac:dyDescent="0.3">
      <c r="B42" s="21" t="s">
        <v>104</v>
      </c>
      <c r="C42" s="384" t="s">
        <v>34</v>
      </c>
      <c r="D42" s="184"/>
      <c r="E42" s="184"/>
      <c r="F42" s="184"/>
      <c r="G42" s="184"/>
      <c r="H42" s="184"/>
      <c r="I42" s="184"/>
      <c r="J42" s="184"/>
      <c r="K42" s="184"/>
      <c r="L42" s="184"/>
    </row>
    <row r="43" spans="1:12" x14ac:dyDescent="0.3">
      <c r="B43" s="21" t="s">
        <v>105</v>
      </c>
      <c r="C43" s="384" t="s">
        <v>34</v>
      </c>
      <c r="D43" s="184"/>
      <c r="E43" s="184"/>
      <c r="F43" s="184"/>
      <c r="G43" s="184"/>
      <c r="H43" s="184"/>
      <c r="I43" s="184"/>
      <c r="J43" s="184"/>
      <c r="K43" s="184"/>
      <c r="L43" s="184"/>
    </row>
    <row r="44" spans="1:12" s="35" customFormat="1" x14ac:dyDescent="0.3">
      <c r="A44" s="37"/>
      <c r="B44" s="34" t="s">
        <v>88</v>
      </c>
      <c r="C44" s="34"/>
      <c r="D44" s="331"/>
      <c r="E44" s="331"/>
      <c r="F44" s="331"/>
      <c r="G44" s="331"/>
      <c r="H44" s="331"/>
      <c r="I44" s="331"/>
      <c r="J44" s="331"/>
      <c r="K44" s="331"/>
      <c r="L44" s="331"/>
    </row>
    <row r="45" spans="1:12" x14ac:dyDescent="0.3">
      <c r="B45" s="21" t="s">
        <v>101</v>
      </c>
      <c r="C45" s="384" t="s">
        <v>34</v>
      </c>
      <c r="D45" s="184"/>
      <c r="E45" s="184"/>
      <c r="F45" s="184"/>
      <c r="G45" s="184"/>
      <c r="H45" s="184"/>
      <c r="I45" s="184"/>
      <c r="J45" s="184"/>
      <c r="K45" s="184"/>
      <c r="L45" s="184"/>
    </row>
    <row r="46" spans="1:12" x14ac:dyDescent="0.3">
      <c r="B46" s="21" t="s">
        <v>106</v>
      </c>
      <c r="C46" s="384" t="s">
        <v>34</v>
      </c>
      <c r="D46" s="184"/>
      <c r="E46" s="184"/>
      <c r="F46" s="184"/>
      <c r="G46" s="184"/>
      <c r="H46" s="184"/>
      <c r="I46" s="184"/>
      <c r="J46" s="184"/>
      <c r="K46" s="184"/>
      <c r="L46" s="184"/>
    </row>
    <row r="47" spans="1:12" x14ac:dyDescent="0.3">
      <c r="B47" s="21" t="s">
        <v>98</v>
      </c>
      <c r="C47" s="384" t="s">
        <v>34</v>
      </c>
      <c r="D47" s="184"/>
      <c r="E47" s="184"/>
      <c r="F47" s="184"/>
      <c r="G47" s="184"/>
      <c r="H47" s="184"/>
      <c r="I47" s="184"/>
      <c r="J47" s="184"/>
      <c r="K47" s="184"/>
      <c r="L47" s="184"/>
    </row>
    <row r="48" spans="1:12" x14ac:dyDescent="0.3">
      <c r="B48" s="21" t="s">
        <v>107</v>
      </c>
      <c r="C48" s="384" t="s">
        <v>34</v>
      </c>
      <c r="D48" s="184"/>
      <c r="E48" s="184"/>
      <c r="F48" s="184"/>
      <c r="G48" s="184"/>
      <c r="H48" s="184"/>
      <c r="I48" s="184"/>
      <c r="J48" s="184"/>
      <c r="K48" s="184"/>
      <c r="L48" s="184"/>
    </row>
    <row r="49" spans="1:12" x14ac:dyDescent="0.3">
      <c r="B49" s="21" t="s">
        <v>105</v>
      </c>
      <c r="C49" s="384" t="s">
        <v>34</v>
      </c>
      <c r="D49" s="184"/>
      <c r="E49" s="184"/>
      <c r="F49" s="184"/>
      <c r="G49" s="184"/>
      <c r="H49" s="184"/>
      <c r="I49" s="184"/>
      <c r="J49" s="184"/>
      <c r="K49" s="184"/>
      <c r="L49" s="184"/>
    </row>
    <row r="50" spans="1:12" x14ac:dyDescent="0.3">
      <c r="B50" s="33" t="s">
        <v>108</v>
      </c>
      <c r="C50" s="33"/>
      <c r="D50" s="333">
        <f>SUM(D39:D43,D45:D49)</f>
        <v>0</v>
      </c>
      <c r="E50" s="333">
        <f>SUM(E39:E43,E45:E49)</f>
        <v>0</v>
      </c>
      <c r="F50" s="333">
        <f>SUM(F39:F43,F45:F49)</f>
        <v>0</v>
      </c>
      <c r="G50" s="333">
        <f t="shared" ref="G50:I50" si="4">SUM(G39:G43,G45:G49)</f>
        <v>0</v>
      </c>
      <c r="H50" s="333">
        <f t="shared" si="4"/>
        <v>0</v>
      </c>
      <c r="I50" s="333">
        <f t="shared" si="4"/>
        <v>0</v>
      </c>
      <c r="J50" s="333">
        <f>SUM(J39:J43,J45:J49)</f>
        <v>0</v>
      </c>
      <c r="K50" s="333">
        <f>SUM(K39:K43,K45:K49)</f>
        <v>0</v>
      </c>
      <c r="L50" s="333">
        <f>SUM(L39:L43,L45:L49)</f>
        <v>0</v>
      </c>
    </row>
    <row r="51" spans="1:12" ht="3.75" customHeight="1" x14ac:dyDescent="0.3">
      <c r="B51" s="33"/>
      <c r="C51" s="33"/>
      <c r="D51" s="23"/>
      <c r="E51" s="23"/>
      <c r="F51" s="23"/>
      <c r="G51" s="23"/>
      <c r="H51" s="23"/>
      <c r="I51" s="23"/>
      <c r="J51" s="23"/>
      <c r="K51" s="23"/>
      <c r="L51" s="23"/>
    </row>
    <row r="52" spans="1:12" x14ac:dyDescent="0.3">
      <c r="B52" s="455" t="s">
        <v>109</v>
      </c>
      <c r="C52" s="456"/>
      <c r="D52" s="172">
        <f>D16+D35+D50</f>
        <v>0</v>
      </c>
      <c r="E52" s="172">
        <f>E16+E35+E50</f>
        <v>0</v>
      </c>
      <c r="F52" s="172">
        <f>F16+F35+F50</f>
        <v>0</v>
      </c>
      <c r="G52" s="172">
        <f t="shared" ref="G52:I52" si="5">G16+G35+G50</f>
        <v>0</v>
      </c>
      <c r="H52" s="172">
        <f t="shared" si="5"/>
        <v>0</v>
      </c>
      <c r="I52" s="172">
        <f t="shared" si="5"/>
        <v>0</v>
      </c>
      <c r="J52" s="172">
        <f>J16+J35+J50</f>
        <v>0</v>
      </c>
      <c r="K52" s="172">
        <f>K16+K35+K50</f>
        <v>0</v>
      </c>
      <c r="L52" s="172">
        <f>L16+L35+L50</f>
        <v>0</v>
      </c>
    </row>
    <row r="53" spans="1:12" x14ac:dyDescent="0.3">
      <c r="B53" s="33" t="s">
        <v>110</v>
      </c>
      <c r="C53" s="33" t="s">
        <v>34</v>
      </c>
      <c r="D53" s="184"/>
      <c r="E53" s="212">
        <f>D54</f>
        <v>0</v>
      </c>
      <c r="F53" s="212">
        <f>E54</f>
        <v>0</v>
      </c>
      <c r="G53" s="212">
        <f>Caixa_DFC_2024</f>
        <v>0</v>
      </c>
      <c r="H53" s="212">
        <f>G53</f>
        <v>0</v>
      </c>
      <c r="I53" s="212">
        <f>G53</f>
        <v>0</v>
      </c>
      <c r="J53" s="212">
        <f>G53</f>
        <v>0</v>
      </c>
      <c r="K53" s="212">
        <f>J54</f>
        <v>0</v>
      </c>
      <c r="L53" s="212">
        <f>K54</f>
        <v>0</v>
      </c>
    </row>
    <row r="54" spans="1:12" x14ac:dyDescent="0.3">
      <c r="B54" s="33" t="s">
        <v>111</v>
      </c>
      <c r="C54" s="33" t="s">
        <v>34</v>
      </c>
      <c r="D54" s="212">
        <f>D52+D53</f>
        <v>0</v>
      </c>
      <c r="E54" s="212">
        <f t="shared" ref="E54" si="6">E52+E53</f>
        <v>0</v>
      </c>
      <c r="F54" s="212">
        <f>F52+F53</f>
        <v>0</v>
      </c>
      <c r="G54" s="212">
        <f>H54</f>
        <v>0</v>
      </c>
      <c r="H54" s="212">
        <f>I54</f>
        <v>0</v>
      </c>
      <c r="I54" s="212">
        <f>Caixa_DFC_2025</f>
        <v>0</v>
      </c>
      <c r="J54" s="212">
        <f>J52+J53</f>
        <v>0</v>
      </c>
      <c r="K54" s="212">
        <f>K52+K53</f>
        <v>0</v>
      </c>
      <c r="L54" s="212">
        <f>L52+L53</f>
        <v>0</v>
      </c>
    </row>
    <row r="55" spans="1:12" x14ac:dyDescent="0.3">
      <c r="B55" s="33"/>
      <c r="C55" s="33"/>
      <c r="D55" s="386"/>
      <c r="E55" s="386"/>
      <c r="F55" s="386"/>
      <c r="G55" s="386"/>
      <c r="H55" s="386"/>
      <c r="I55" s="386"/>
      <c r="J55" s="386"/>
      <c r="K55" s="386"/>
      <c r="L55" s="386"/>
    </row>
    <row r="56" spans="1:12" x14ac:dyDescent="0.3">
      <c r="A56" s="241">
        <f>+SUM(D56:L56)</f>
        <v>0</v>
      </c>
      <c r="B56" s="175" t="s">
        <v>231</v>
      </c>
      <c r="D56" s="385">
        <f>+D54-Disponibilidade_2023</f>
        <v>0</v>
      </c>
      <c r="E56" s="385">
        <f>+E54-Disponibilidade_2024</f>
        <v>0</v>
      </c>
      <c r="F56" s="385">
        <f>+F54-Disponibilidade_2024</f>
        <v>0</v>
      </c>
      <c r="G56" s="385">
        <f>+G54-BAL!G38</f>
        <v>0</v>
      </c>
      <c r="H56" s="385">
        <f>+H54-BAL!H38</f>
        <v>0</v>
      </c>
      <c r="I56" s="385">
        <f>+I54-BAL!I38</f>
        <v>0</v>
      </c>
      <c r="J56" s="385">
        <f>+J54-Disponibilidade_2025</f>
        <v>0</v>
      </c>
      <c r="K56" s="385">
        <f>+K54-Disponibilidade_2026</f>
        <v>0</v>
      </c>
      <c r="L56" s="385">
        <f>+L54-Disponibilidade_2027</f>
        <v>0</v>
      </c>
    </row>
    <row r="57" spans="1:12" x14ac:dyDescent="0.3"/>
    <row r="58" spans="1:12" hidden="1" x14ac:dyDescent="0.3"/>
  </sheetData>
  <sheetProtection sheet="1" selectLockedCells="1"/>
  <mergeCells count="6">
    <mergeCell ref="B52:C52"/>
    <mergeCell ref="B5:B6"/>
    <mergeCell ref="C5:C6"/>
    <mergeCell ref="B8:C8"/>
    <mergeCell ref="B18:C18"/>
    <mergeCell ref="B37:C37"/>
  </mergeCells>
  <dataValidations count="5">
    <dataValidation type="custom" allowBlank="1" showInputMessage="1" showErrorMessage="1" errorTitle="Erro" error="Não introduzir dados nesta célula" sqref="B53:B54 B15 B9:B13 D7:I7 B19:B36 B39:B50 C44:L44 C19:L19 B14:L14 B50:L52 B16:L18 C35:L36 B7 A1:L2 B8:L8 J6:J7 B37:L38 C25:L25 K4:L7 D4:J4 A4:A54 C4:C7 B4 A3 C3:J3" xr:uid="{00000000-0002-0000-0500-000000000000}">
      <formula1>"&lt;&gt;"""""</formula1>
    </dataValidation>
    <dataValidation allowBlank="1" showInputMessage="1" showErrorMessage="1" errorTitle="Erro" error="Não introduzir dados nesta célula" sqref="B56 D5:F6 B55:L55 B57:L57 A55:A57 M55:XFD57" xr:uid="{00000000-0002-0000-0500-000001000000}"/>
    <dataValidation allowBlank="1" showInputMessage="1" showErrorMessage="1" errorTitle="Erro" error="Não introduzir dados nesta célula_x000a_" sqref="C56:L56" xr:uid="{00000000-0002-0000-0500-000002000000}"/>
    <dataValidation type="decimal" allowBlank="1" showInputMessage="1" showErrorMessage="1" errorTitle="Validação" error="Campo numérico. Introduzir valor." sqref="D9:L13 D15:L15 D20:L24 D26:L34 D39:L43 D45:L49 D53" xr:uid="{00000000-0002-0000-0500-000003000000}">
      <formula1>-1E+22</formula1>
      <formula2>1E+22</formula2>
    </dataValidation>
    <dataValidation type="custom" allowBlank="1" showInputMessage="1" showErrorMessage="1" errorTitle="Erro" error="Não introduzir dados nesta célula_x000a_" sqref="B5:B6" xr:uid="{00000000-0002-0000-0500-000004000000}">
      <formula1>"&lt;&gt;"""""</formula1>
    </dataValidation>
  </dataValidations>
  <pageMargins left="0.7" right="0.7" top="0.75" bottom="0.75" header="0.3" footer="0.3"/>
  <pageSetup paperSize="9" orientation="portrait" r:id="rId1"/>
  <ignoredErrors>
    <ignoredError sqref="D52:L54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7">
    <tabColor theme="5" tint="0.59999389629810485"/>
  </sheetPr>
  <dimension ref="A1:N38"/>
  <sheetViews>
    <sheetView showGridLines="0" workbookViewId="0">
      <pane ySplit="6" topLeftCell="A7" activePane="bottomLeft" state="frozen"/>
      <selection pane="bottomLeft" activeCell="B5" sqref="B5:B6"/>
    </sheetView>
  </sheetViews>
  <sheetFormatPr defaultColWidth="0" defaultRowHeight="15" customHeight="1" zeroHeight="1" x14ac:dyDescent="0.3"/>
  <cols>
    <col min="1" max="1" width="4.109375" style="36" customWidth="1"/>
    <col min="2" max="2" width="49" customWidth="1"/>
    <col min="3" max="3" width="11" customWidth="1"/>
    <col min="4" max="11" width="19.6640625" customWidth="1"/>
    <col min="12" max="12" width="6.33203125" customWidth="1"/>
    <col min="13" max="14" width="0" hidden="1" customWidth="1"/>
    <col min="15" max="16384" width="9.109375" hidden="1"/>
  </cols>
  <sheetData>
    <row r="1" spans="2:11" ht="14.4" customHeight="1" x14ac:dyDescent="0.3"/>
    <row r="2" spans="2:11" ht="14.4" x14ac:dyDescent="0.3">
      <c r="B2" s="27"/>
      <c r="C2" s="28"/>
      <c r="D2" s="28"/>
      <c r="E2" s="28"/>
      <c r="F2" s="28"/>
      <c r="G2" s="28"/>
      <c r="H2" s="28"/>
      <c r="I2" s="28"/>
      <c r="J2" s="28"/>
      <c r="K2" s="28"/>
    </row>
    <row r="3" spans="2:11" ht="15.6" x14ac:dyDescent="0.3">
      <c r="B3" s="24" t="s">
        <v>348</v>
      </c>
      <c r="C3" s="30"/>
      <c r="D3" s="26"/>
      <c r="E3" s="26"/>
      <c r="F3" s="26"/>
      <c r="G3" s="26"/>
      <c r="H3" s="26"/>
      <c r="I3" s="26"/>
    </row>
    <row r="4" spans="2:11" ht="15.6" x14ac:dyDescent="0.3">
      <c r="B4" s="29"/>
      <c r="C4" s="30"/>
      <c r="D4" s="30"/>
      <c r="E4" s="30"/>
      <c r="F4" s="30"/>
      <c r="G4" s="30"/>
      <c r="H4" s="30"/>
      <c r="I4" s="30"/>
      <c r="J4" s="26" t="s">
        <v>147</v>
      </c>
      <c r="K4" s="25"/>
    </row>
    <row r="5" spans="2:11" ht="14.4" x14ac:dyDescent="0.3">
      <c r="B5" s="464" t="s">
        <v>235</v>
      </c>
      <c r="C5" s="465" t="s">
        <v>2</v>
      </c>
      <c r="D5" s="44">
        <f>IF(Instruções!$C$10="","",IF(ISERROR(Instruções!$C$10),"",Instruções!$C$10))</f>
        <v>2024</v>
      </c>
      <c r="E5" s="389">
        <f>IF(Instruções!$C$10="","",IF(ISERROR(Instruções!$C$10),"",Instruções!$C$10))</f>
        <v>2024</v>
      </c>
      <c r="F5" s="362" t="str">
        <f>IF(Instruções!$C$10="","",IF(ISERROR(Instruções!$C$10),"","1.ºT"&amp;Instruções!$C$10+1))</f>
        <v>1.ºT2025</v>
      </c>
      <c r="G5" s="362" t="str">
        <f>IF(Instruções!$C$10="","",IF(ISERROR(Instruções!$C$10),"","2.ºT"&amp;Instruções!$C$10+1))</f>
        <v>2.ºT2025</v>
      </c>
      <c r="H5" s="362" t="str">
        <f>IF(Instruções!$C$10="","",IF(ISERROR(Instruções!$C$10),"","3.ºT"&amp;Instruções!$C$10+1))</f>
        <v>3.ºT2025</v>
      </c>
      <c r="I5" s="362" t="str">
        <f>IF(Instruções!$C$10="","",IF(ISERROR(Instruções!$C$10),"","4.ºT"&amp;Instruções!$C$10+1))</f>
        <v>4.ºT2025</v>
      </c>
      <c r="J5" s="362">
        <f>IF(Instruções!C10="","",IF(ISERROR(Instruções!C10),"",Instruções!C10+2))</f>
        <v>2026</v>
      </c>
      <c r="K5" s="362">
        <f>IF(Instruções!C10="","",IF(ISERROR(Instruções!C10),"",Instruções!C10+3))</f>
        <v>2027</v>
      </c>
    </row>
    <row r="6" spans="2:11" ht="15" customHeight="1" x14ac:dyDescent="0.3">
      <c r="B6" s="464" t="s">
        <v>77</v>
      </c>
      <c r="C6" s="465"/>
      <c r="D6" s="45" t="str">
        <f>IF(D5="","","PAO")</f>
        <v>PAO</v>
      </c>
      <c r="E6" s="11" t="str">
        <f>IF(E5="","","Estimativa")</f>
        <v>Estimativa</v>
      </c>
      <c r="F6" s="47" t="str">
        <f>IF($E$5="","","Previsão")</f>
        <v>Previsão</v>
      </c>
      <c r="G6" s="47" t="str">
        <f t="shared" ref="G6:H6" si="0">IF($E$5="","","Previsão")</f>
        <v>Previsão</v>
      </c>
      <c r="H6" s="47" t="str">
        <f t="shared" si="0"/>
        <v>Previsão</v>
      </c>
      <c r="I6" s="47" t="str">
        <f>IF(E5="","","Previsão")</f>
        <v>Previsão</v>
      </c>
      <c r="J6" s="47" t="str">
        <f>IF(I5="","","Previsão")</f>
        <v>Previsão</v>
      </c>
      <c r="K6" s="47" t="str">
        <f>IF(J5="","","Previsão")</f>
        <v>Previsão</v>
      </c>
    </row>
    <row r="7" spans="2:11" ht="3.75" customHeight="1" x14ac:dyDescent="0.3">
      <c r="B7" s="36"/>
      <c r="C7" s="36"/>
      <c r="D7" s="36"/>
      <c r="E7" s="60"/>
      <c r="F7" s="60"/>
      <c r="G7" s="60"/>
      <c r="H7" s="60"/>
      <c r="I7" s="60"/>
      <c r="J7" s="60"/>
      <c r="K7" s="60"/>
    </row>
    <row r="8" spans="2:11" ht="15" customHeight="1" x14ac:dyDescent="0.3">
      <c r="B8" s="455"/>
      <c r="C8" s="466"/>
      <c r="D8" s="102"/>
      <c r="E8" s="12"/>
      <c r="F8" s="12"/>
      <c r="G8" s="12"/>
      <c r="H8" s="12"/>
      <c r="I8" s="12"/>
      <c r="J8" s="12"/>
      <c r="K8" s="12"/>
    </row>
    <row r="9" spans="2:11" ht="15" customHeight="1" x14ac:dyDescent="0.3">
      <c r="B9" s="4" t="s">
        <v>291</v>
      </c>
      <c r="C9" s="276"/>
      <c r="D9" s="277"/>
      <c r="E9" s="332"/>
      <c r="F9" s="332"/>
      <c r="G9" s="332"/>
      <c r="H9" s="332"/>
      <c r="I9" s="332"/>
      <c r="J9" s="332"/>
      <c r="K9" s="332"/>
    </row>
    <row r="10" spans="2:11" ht="14.4" x14ac:dyDescent="0.3">
      <c r="B10" s="232" t="s">
        <v>246</v>
      </c>
      <c r="C10" s="54"/>
      <c r="D10" s="183"/>
      <c r="E10" s="184"/>
      <c r="F10" s="184"/>
      <c r="G10" s="184"/>
      <c r="H10" s="184"/>
      <c r="I10" s="184"/>
      <c r="J10" s="184"/>
      <c r="K10" s="184"/>
    </row>
    <row r="11" spans="2:11" ht="14.4" x14ac:dyDescent="0.3">
      <c r="B11" s="226" t="s">
        <v>248</v>
      </c>
      <c r="C11" s="54"/>
      <c r="D11" s="183"/>
      <c r="E11" s="184"/>
      <c r="F11" s="184"/>
      <c r="G11" s="184"/>
      <c r="H11" s="184"/>
      <c r="I11" s="184"/>
      <c r="J11" s="184"/>
      <c r="K11" s="184"/>
    </row>
    <row r="12" spans="2:11" ht="14.4" x14ac:dyDescent="0.3">
      <c r="B12" s="226" t="s">
        <v>249</v>
      </c>
      <c r="C12" s="54"/>
      <c r="D12" s="183"/>
      <c r="E12" s="184"/>
      <c r="F12" s="184"/>
      <c r="G12" s="184"/>
      <c r="H12" s="184"/>
      <c r="I12" s="184"/>
      <c r="J12" s="184"/>
      <c r="K12" s="184"/>
    </row>
    <row r="13" spans="2:11" ht="14.4" x14ac:dyDescent="0.3">
      <c r="B13" s="226" t="s">
        <v>250</v>
      </c>
      <c r="C13" s="54"/>
      <c r="D13" s="183"/>
      <c r="E13" s="184"/>
      <c r="F13" s="184"/>
      <c r="G13" s="184"/>
      <c r="H13" s="184"/>
      <c r="I13" s="184"/>
      <c r="J13" s="184"/>
      <c r="K13" s="184"/>
    </row>
    <row r="14" spans="2:11" ht="14.4" x14ac:dyDescent="0.3">
      <c r="B14" s="260" t="s">
        <v>278</v>
      </c>
      <c r="C14" s="183"/>
      <c r="D14" s="229"/>
      <c r="E14" s="230"/>
      <c r="F14" s="230"/>
      <c r="G14" s="230"/>
      <c r="H14" s="230"/>
      <c r="I14" s="230"/>
      <c r="J14" s="230"/>
      <c r="K14" s="230"/>
    </row>
    <row r="15" spans="2:11" ht="14.4" x14ac:dyDescent="0.3">
      <c r="D15" s="229"/>
      <c r="E15" s="230"/>
      <c r="F15" s="230"/>
      <c r="G15" s="230"/>
      <c r="H15" s="230"/>
      <c r="I15" s="230"/>
      <c r="J15" s="230"/>
      <c r="K15" s="230"/>
    </row>
    <row r="16" spans="2:11" ht="14.4" x14ac:dyDescent="0.3">
      <c r="B16" s="227"/>
      <c r="C16" s="228"/>
      <c r="D16" s="229"/>
      <c r="E16" s="230"/>
      <c r="F16" s="230"/>
      <c r="G16" s="230"/>
      <c r="H16" s="230"/>
      <c r="I16" s="230"/>
      <c r="J16" s="230"/>
      <c r="K16" s="230"/>
    </row>
    <row r="17" spans="2:11" ht="14.4" x14ac:dyDescent="0.3">
      <c r="B17" s="232" t="s">
        <v>247</v>
      </c>
      <c r="C17" s="54"/>
      <c r="D17" s="183"/>
      <c r="E17" s="184"/>
      <c r="F17" s="184"/>
      <c r="G17" s="184"/>
      <c r="H17" s="184"/>
      <c r="I17" s="184"/>
      <c r="J17" s="184"/>
      <c r="K17" s="184"/>
    </row>
    <row r="18" spans="2:11" ht="14.4" x14ac:dyDescent="0.3">
      <c r="B18" s="226" t="s">
        <v>248</v>
      </c>
      <c r="C18" s="54"/>
      <c r="D18" s="183"/>
      <c r="E18" s="184"/>
      <c r="F18" s="184"/>
      <c r="G18" s="184"/>
      <c r="H18" s="184"/>
      <c r="I18" s="184"/>
      <c r="J18" s="184"/>
      <c r="K18" s="184"/>
    </row>
    <row r="19" spans="2:11" ht="14.4" x14ac:dyDescent="0.3">
      <c r="B19" s="226" t="s">
        <v>249</v>
      </c>
      <c r="C19" s="54"/>
      <c r="D19" s="183"/>
      <c r="E19" s="184"/>
      <c r="F19" s="184"/>
      <c r="G19" s="184"/>
      <c r="H19" s="184"/>
      <c r="I19" s="184"/>
      <c r="J19" s="184"/>
      <c r="K19" s="184"/>
    </row>
    <row r="20" spans="2:11" ht="14.4" x14ac:dyDescent="0.3">
      <c r="B20" s="226" t="s">
        <v>250</v>
      </c>
      <c r="C20" s="54"/>
      <c r="D20" s="183"/>
      <c r="E20" s="184"/>
      <c r="F20" s="184"/>
      <c r="G20" s="184"/>
      <c r="H20" s="184"/>
      <c r="I20" s="184"/>
      <c r="J20" s="184"/>
      <c r="K20" s="184"/>
    </row>
    <row r="21" spans="2:11" ht="14.4" x14ac:dyDescent="0.3">
      <c r="B21" s="260" t="s">
        <v>278</v>
      </c>
      <c r="C21" s="183"/>
      <c r="D21" s="421"/>
      <c r="E21" s="334"/>
      <c r="F21" s="334"/>
      <c r="G21" s="334"/>
      <c r="H21" s="334"/>
      <c r="I21" s="334"/>
      <c r="J21" s="334"/>
      <c r="K21" s="230"/>
    </row>
    <row r="22" spans="2:11" ht="14.4" x14ac:dyDescent="0.3">
      <c r="D22" s="259"/>
      <c r="E22" s="334"/>
      <c r="F22" s="334"/>
      <c r="G22" s="334"/>
      <c r="H22" s="334"/>
      <c r="I22" s="334"/>
      <c r="J22" s="334"/>
      <c r="K22" s="230"/>
    </row>
    <row r="23" spans="2:11" ht="14.4" x14ac:dyDescent="0.3">
      <c r="B23" s="227"/>
      <c r="C23" s="228"/>
      <c r="D23" s="259"/>
      <c r="E23" s="334"/>
      <c r="F23" s="334"/>
      <c r="G23" s="334"/>
      <c r="H23" s="334"/>
      <c r="I23" s="334"/>
      <c r="J23" s="334"/>
      <c r="K23" s="230"/>
    </row>
    <row r="24" spans="2:11" ht="14.4" x14ac:dyDescent="0.3">
      <c r="B24" s="232" t="s">
        <v>251</v>
      </c>
      <c r="C24" s="54"/>
      <c r="D24" s="183"/>
      <c r="E24" s="184"/>
      <c r="F24" s="184"/>
      <c r="G24" s="184"/>
      <c r="H24" s="184"/>
      <c r="I24" s="184"/>
      <c r="J24" s="184"/>
      <c r="K24" s="184"/>
    </row>
    <row r="25" spans="2:11" ht="14.4" x14ac:dyDescent="0.3">
      <c r="B25" s="226" t="s">
        <v>248</v>
      </c>
      <c r="C25" s="54"/>
      <c r="D25" s="183"/>
      <c r="E25" s="184"/>
      <c r="F25" s="184"/>
      <c r="G25" s="184"/>
      <c r="H25" s="184"/>
      <c r="I25" s="184"/>
      <c r="J25" s="184"/>
      <c r="K25" s="184"/>
    </row>
    <row r="26" spans="2:11" ht="14.4" x14ac:dyDescent="0.3">
      <c r="B26" s="226" t="s">
        <v>249</v>
      </c>
      <c r="C26" s="54"/>
      <c r="D26" s="183"/>
      <c r="E26" s="184"/>
      <c r="F26" s="184"/>
      <c r="G26" s="184"/>
      <c r="H26" s="184"/>
      <c r="I26" s="184"/>
      <c r="J26" s="184"/>
      <c r="K26" s="184"/>
    </row>
    <row r="27" spans="2:11" ht="14.4" x14ac:dyDescent="0.3">
      <c r="B27" s="226" t="s">
        <v>250</v>
      </c>
      <c r="C27" s="54"/>
      <c r="D27" s="183"/>
      <c r="E27" s="184"/>
      <c r="F27" s="184"/>
      <c r="G27" s="184"/>
      <c r="H27" s="184"/>
      <c r="I27" s="184"/>
      <c r="J27" s="184"/>
      <c r="K27" s="184"/>
    </row>
    <row r="28" spans="2:11" ht="14.4" x14ac:dyDescent="0.3">
      <c r="B28" s="260" t="s">
        <v>278</v>
      </c>
      <c r="C28" s="183"/>
      <c r="D28" s="171"/>
      <c r="E28" s="171"/>
      <c r="F28" s="171"/>
      <c r="G28" s="171"/>
      <c r="H28" s="171"/>
      <c r="I28" s="171"/>
      <c r="J28" s="171"/>
      <c r="K28" s="333"/>
    </row>
    <row r="29" spans="2:11" ht="14.4" x14ac:dyDescent="0.3">
      <c r="B29" s="33"/>
      <c r="C29" s="33"/>
      <c r="D29" s="171"/>
      <c r="E29" s="171"/>
      <c r="F29" s="171"/>
      <c r="G29" s="171"/>
      <c r="H29" s="171"/>
      <c r="I29" s="171"/>
      <c r="J29" s="171"/>
      <c r="K29" s="333"/>
    </row>
    <row r="30" spans="2:11" ht="14.4" x14ac:dyDescent="0.3">
      <c r="B30" s="33"/>
      <c r="C30" s="33"/>
      <c r="D30" s="171"/>
      <c r="E30" s="171"/>
      <c r="F30" s="171"/>
      <c r="G30" s="171"/>
      <c r="H30" s="171"/>
      <c r="I30" s="171"/>
      <c r="J30" s="171"/>
      <c r="K30" s="333"/>
    </row>
    <row r="31" spans="2:11" ht="3.75" customHeight="1" x14ac:dyDescent="0.3">
      <c r="B31" s="33"/>
      <c r="C31" s="33"/>
      <c r="D31" s="33"/>
      <c r="E31" s="33"/>
      <c r="F31" s="33"/>
      <c r="G31" s="33"/>
      <c r="H31" s="33"/>
      <c r="I31" s="33"/>
      <c r="J31" s="33"/>
      <c r="K31" s="103"/>
    </row>
    <row r="32" spans="2:11" ht="14.4" x14ac:dyDescent="0.3">
      <c r="B32" s="462" t="s">
        <v>252</v>
      </c>
      <c r="C32" s="463"/>
      <c r="D32" s="242">
        <f t="shared" ref="D32:K32" si="1">+IFERROR(SUM(D10+D17+D24),"")</f>
        <v>0</v>
      </c>
      <c r="E32" s="242">
        <f t="shared" si="1"/>
        <v>0</v>
      </c>
      <c r="F32" s="242">
        <f t="shared" si="1"/>
        <v>0</v>
      </c>
      <c r="G32" s="242">
        <f t="shared" si="1"/>
        <v>0</v>
      </c>
      <c r="H32" s="242">
        <f t="shared" si="1"/>
        <v>0</v>
      </c>
      <c r="I32" s="242">
        <f t="shared" si="1"/>
        <v>0</v>
      </c>
      <c r="J32" s="242">
        <f t="shared" si="1"/>
        <v>0</v>
      </c>
      <c r="K32" s="173">
        <f t="shared" si="1"/>
        <v>0</v>
      </c>
    </row>
    <row r="33" spans="1:11" ht="14.4" x14ac:dyDescent="0.3">
      <c r="B33" s="462" t="s">
        <v>253</v>
      </c>
      <c r="C33" s="463"/>
      <c r="D33" s="173">
        <f t="shared" ref="D33:K33" si="2">+IFERROR(SUM(D11:D13,D18:D20,D25:D27),"")</f>
        <v>0</v>
      </c>
      <c r="E33" s="173">
        <f t="shared" si="2"/>
        <v>0</v>
      </c>
      <c r="F33" s="173">
        <f t="shared" si="2"/>
        <v>0</v>
      </c>
      <c r="G33" s="173">
        <f t="shared" si="2"/>
        <v>0</v>
      </c>
      <c r="H33" s="173">
        <f t="shared" si="2"/>
        <v>0</v>
      </c>
      <c r="I33" s="173">
        <f t="shared" si="2"/>
        <v>0</v>
      </c>
      <c r="J33" s="173">
        <f t="shared" si="2"/>
        <v>0</v>
      </c>
      <c r="K33" s="173">
        <f t="shared" si="2"/>
        <v>0</v>
      </c>
    </row>
    <row r="34" spans="1:11" ht="14.4" x14ac:dyDescent="0.3">
      <c r="B34" s="33"/>
      <c r="C34" s="33"/>
      <c r="D34" s="205"/>
      <c r="E34" s="205"/>
      <c r="F34" s="205"/>
      <c r="G34" s="205"/>
      <c r="H34" s="205"/>
      <c r="I34" s="205"/>
      <c r="J34" s="205"/>
      <c r="K34" s="205"/>
    </row>
    <row r="35" spans="1:11" ht="14.4" x14ac:dyDescent="0.3">
      <c r="A35" s="218">
        <f>+SUM(E35:K35)</f>
        <v>0</v>
      </c>
      <c r="B35" s="175" t="s">
        <v>230</v>
      </c>
      <c r="D35" s="225">
        <f>+D32-D33</f>
        <v>0</v>
      </c>
      <c r="E35" s="225">
        <f>+E32-E33</f>
        <v>0</v>
      </c>
      <c r="F35" s="225">
        <f t="shared" ref="F35:K35" si="3">+F32-F33</f>
        <v>0</v>
      </c>
      <c r="G35" s="225">
        <f t="shared" si="3"/>
        <v>0</v>
      </c>
      <c r="H35" s="225">
        <f t="shared" si="3"/>
        <v>0</v>
      </c>
      <c r="I35" s="225">
        <f t="shared" si="3"/>
        <v>0</v>
      </c>
      <c r="J35" s="225">
        <f t="shared" si="3"/>
        <v>0</v>
      </c>
      <c r="K35" s="225">
        <f t="shared" si="3"/>
        <v>0</v>
      </c>
    </row>
    <row r="36" spans="1:11" ht="6.75" customHeight="1" x14ac:dyDescent="0.3">
      <c r="A36" s="218"/>
      <c r="D36" s="224"/>
      <c r="E36" s="224"/>
      <c r="F36" s="223"/>
      <c r="G36" s="178"/>
      <c r="H36" s="178"/>
      <c r="I36" s="224"/>
      <c r="J36" s="223"/>
      <c r="K36" s="178"/>
    </row>
    <row r="37" spans="1:11" ht="14.4" hidden="1" x14ac:dyDescent="0.3"/>
    <row r="38" spans="1:11" ht="15" hidden="1" customHeight="1" x14ac:dyDescent="0.3"/>
  </sheetData>
  <sheetProtection sheet="1" selectLockedCells="1"/>
  <mergeCells count="5">
    <mergeCell ref="B33:C33"/>
    <mergeCell ref="B5:B6"/>
    <mergeCell ref="C5:C6"/>
    <mergeCell ref="B8:C8"/>
    <mergeCell ref="B32:C32"/>
  </mergeCells>
  <dataValidations count="5">
    <dataValidation allowBlank="1" showInputMessage="1" showErrorMessage="1" errorTitle="Erro" error="Não introduzir dados nesta célula" sqref="B16:B21 L34:XFD37 A34:A37 B5:B6 B3 B23:B28 B35 B9:B14 C37:K37 B32:L33 B34:K34 D5:K6" xr:uid="{00000000-0002-0000-0600-000000000000}"/>
    <dataValidation type="custom" allowBlank="1" showInputMessage="1" showErrorMessage="1" errorTitle="Erro" error="Não introduzir dados nesta célula" sqref="B7 A3:A33 B4 C4:C7 B29:C31 D28:K31 C3:I3 D4:K4 A1:K2 D7:K7 B8:K9" xr:uid="{00000000-0002-0000-0600-000001000000}">
      <formula1>"&lt;&gt;"""""</formula1>
    </dataValidation>
    <dataValidation type="decimal" allowBlank="1" showInputMessage="1" showErrorMessage="1" errorTitle="Validação" error="Inserir nº decimal menor ou igual que zero" sqref="E21:K23 E14:K16" xr:uid="{00000000-0002-0000-0600-000002000000}">
      <formula1>-1E+22</formula1>
      <formula2>0</formula2>
    </dataValidation>
    <dataValidation allowBlank="1" showInputMessage="1" showErrorMessage="1" errorTitle="Erro" error="Não introduzir dados nesta célula_x000a_" sqref="C35:K36" xr:uid="{00000000-0002-0000-0600-000003000000}"/>
    <dataValidation type="decimal" allowBlank="1" showInputMessage="1" showErrorMessage="1" errorTitle="Validação" error="Campo numérico. Introduzir valor." sqref="D10:K13 C14 C21 C28 D24:K27 D17:K20" xr:uid="{00000000-0002-0000-0600-000004000000}">
      <formula1>-1E+22</formula1>
      <formula2>1E+22</formula2>
    </dataValidation>
  </dataValidations>
  <pageMargins left="0.7" right="0.7" top="0.75" bottom="0.75" header="0.3" footer="0.3"/>
  <pageSetup paperSize="9" orientation="portrait" r:id="rId1"/>
  <ignoredErrors>
    <ignoredError sqref="D32:K33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8">
    <tabColor theme="4" tint="0.59999389629810485"/>
  </sheetPr>
  <dimension ref="A1:K65"/>
  <sheetViews>
    <sheetView showGridLines="0" zoomScaleNormal="100" workbookViewId="0"/>
  </sheetViews>
  <sheetFormatPr defaultColWidth="0" defaultRowHeight="14.4" zeroHeight="1" x14ac:dyDescent="0.3"/>
  <cols>
    <col min="1" max="1" width="4.109375" style="53" customWidth="1"/>
    <col min="2" max="2" width="49.44140625" style="55" customWidth="1"/>
    <col min="3" max="3" width="13.44140625" style="55" bestFit="1" customWidth="1"/>
    <col min="4" max="4" width="13.44140625" style="55" customWidth="1"/>
    <col min="5" max="8" width="11.6640625" style="53" bestFit="1" customWidth="1"/>
    <col min="9" max="9" width="12.44140625" style="53" bestFit="1" customWidth="1"/>
    <col min="10" max="10" width="9.6640625" style="53" customWidth="1"/>
    <col min="11" max="11" width="6.33203125" style="53" customWidth="1"/>
    <col min="12" max="16384" width="6.5546875" style="53" hidden="1"/>
  </cols>
  <sheetData>
    <row r="1" spans="1:11" x14ac:dyDescent="0.3"/>
    <row r="2" spans="1:11" x14ac:dyDescent="0.3"/>
    <row r="3" spans="1:11" x14ac:dyDescent="0.3"/>
    <row r="4" spans="1:11" ht="14.4" customHeight="1" x14ac:dyDescent="0.3">
      <c r="A4" s="38"/>
      <c r="B4" s="52"/>
      <c r="C4" s="52"/>
      <c r="D4" s="52"/>
      <c r="E4" s="85"/>
      <c r="F4" s="85"/>
      <c r="G4" s="85"/>
      <c r="H4" s="26" t="s">
        <v>147</v>
      </c>
      <c r="I4" s="25"/>
      <c r="J4" s="64"/>
      <c r="K4" s="38"/>
    </row>
    <row r="5" spans="1:11" ht="15" customHeight="1" x14ac:dyDescent="0.3">
      <c r="A5" s="38"/>
      <c r="B5" s="468" t="s">
        <v>146</v>
      </c>
      <c r="C5" s="389">
        <f>IF(Instruções!$C$10="","",IF(ISERROR(Instruções!$C$10),"",Instruções!$C$10-1))</f>
        <v>2023</v>
      </c>
      <c r="D5" s="389">
        <f>IF(Instruções!$C$10="","",IF(ISERROR(Instruções!$C$10),"",Instruções!$C$10))</f>
        <v>2024</v>
      </c>
      <c r="E5" s="389">
        <f>IF(Instruções!$C$10="","",IF(ISERROR(Instruções!$C$10),"",Instruções!$C$10))</f>
        <v>2024</v>
      </c>
      <c r="F5" s="362">
        <f>IF(Instruções!$C$10="","",IF(ISERROR(Instruções!$C$10),"",Instruções!$C$10+1))</f>
        <v>2025</v>
      </c>
      <c r="G5" s="362">
        <f>IF(Instruções!$C$10="","",IF(ISERROR(Instruções!$C$10),"",Instruções!$C$10+2))</f>
        <v>2026</v>
      </c>
      <c r="H5" s="362">
        <f>IF(Instruções!$C$10="","",IF(ISERROR(Instruções!$C$10),"",Instruções!$C$10+3))</f>
        <v>2027</v>
      </c>
      <c r="I5" s="469" t="str">
        <f>IF(ISERROR("Δ ("&amp;Instruções!$C$10+1&amp;"-"&amp;Instruções!$C$10&amp;")"),"","Δ ("&amp;Instruções!$C$10+1&amp;"-"&amp;Instruções!$C$10&amp;")")</f>
        <v>Δ (2025-2024)</v>
      </c>
      <c r="J5" s="469"/>
      <c r="K5" s="38"/>
    </row>
    <row r="6" spans="1:11" x14ac:dyDescent="0.3">
      <c r="A6" s="38"/>
      <c r="B6" s="468"/>
      <c r="C6" s="11" t="str">
        <f>IF(C5="","","Execução")</f>
        <v>Execução</v>
      </c>
      <c r="D6" s="11" t="str">
        <f>IF(D5="","","PAO")</f>
        <v>PAO</v>
      </c>
      <c r="E6" s="11" t="str">
        <f>IF(E5="","","Estimativa")</f>
        <v>Estimativa</v>
      </c>
      <c r="F6" s="47" t="str">
        <f>IF(F5="","","Previsão")</f>
        <v>Previsão</v>
      </c>
      <c r="G6" s="47" t="str">
        <f>IF(G5="","","Previsão")</f>
        <v>Previsão</v>
      </c>
      <c r="H6" s="47" t="str">
        <f>IF(H5="","","Previsão")</f>
        <v>Previsão</v>
      </c>
      <c r="I6" s="11" t="s">
        <v>117</v>
      </c>
      <c r="J6" s="11" t="s">
        <v>118</v>
      </c>
      <c r="K6" s="38"/>
    </row>
    <row r="7" spans="1:11" x14ac:dyDescent="0.3">
      <c r="A7" s="38"/>
      <c r="B7" s="422" t="s">
        <v>122</v>
      </c>
      <c r="C7" s="74" t="str">
        <f>IF(SUM(C8:C10)=0,"",SUM(C8:C10))</f>
        <v/>
      </c>
      <c r="D7" s="74" t="str">
        <f>IF(SUM(D8:D10)=0,"",SUM(D8:D10))</f>
        <v/>
      </c>
      <c r="E7" s="74" t="str">
        <f>IF(SUM(E8:E10)=0,"",SUM(E8:E10))</f>
        <v/>
      </c>
      <c r="F7" s="74" t="str">
        <f t="shared" ref="F7:H7" si="0">IF(SUM(F8:F10)=0,"",SUM(F8:F10))</f>
        <v/>
      </c>
      <c r="G7" s="74" t="str">
        <f t="shared" si="0"/>
        <v/>
      </c>
      <c r="H7" s="74" t="str">
        <f t="shared" si="0"/>
        <v/>
      </c>
      <c r="I7" s="74" t="str">
        <f t="shared" ref="I7" si="1">IF(ISERROR(F7-E7),"",F7-E7)</f>
        <v/>
      </c>
      <c r="J7" s="192" t="str">
        <f t="shared" ref="J7" si="2">IFERROR(I7/ABS(E7),"")</f>
        <v/>
      </c>
      <c r="K7" s="38"/>
    </row>
    <row r="8" spans="1:11" x14ac:dyDescent="0.3">
      <c r="A8" s="38"/>
      <c r="B8" s="423" t="s">
        <v>120</v>
      </c>
      <c r="C8" s="66" t="str">
        <f>IF(DR!D15="","",CMVMC_2023)</f>
        <v/>
      </c>
      <c r="D8" s="66" t="str">
        <f>IF(DR!E15="","",CMVMC_2024)</f>
        <v/>
      </c>
      <c r="E8" s="66" t="str">
        <f>IF(DR!F15="","",CMVMC_2024)</f>
        <v/>
      </c>
      <c r="F8" s="66" t="str">
        <f>IF(DR!J15="","",CMVMC_2025)</f>
        <v/>
      </c>
      <c r="G8" s="66" t="str">
        <f>IF(DR!K15="","",CMVMC_2026)</f>
        <v/>
      </c>
      <c r="H8" s="66" t="str">
        <f>IF(DR!L15="","",CMVMC_2027)</f>
        <v/>
      </c>
      <c r="I8" s="66" t="str">
        <f>IF(ISERROR(F8-E8),"",F8-E8)</f>
        <v/>
      </c>
      <c r="J8" s="193" t="str">
        <f>IFERROR(I8/ABS(E8),"")</f>
        <v/>
      </c>
      <c r="K8" s="38"/>
    </row>
    <row r="9" spans="1:11" x14ac:dyDescent="0.3">
      <c r="A9" s="38"/>
      <c r="B9" s="423" t="s">
        <v>121</v>
      </c>
      <c r="C9" s="66" t="str">
        <f>IF(DR!D16="","",FSE_2023)</f>
        <v/>
      </c>
      <c r="D9" s="66" t="str">
        <f>IF(DR!E16="","",FSE_2024)</f>
        <v/>
      </c>
      <c r="E9" s="66" t="str">
        <f>IF(DR!F16="","",FSE_2024)</f>
        <v/>
      </c>
      <c r="F9" s="66" t="str">
        <f>IF(DR!J16="","",FSE_2025)</f>
        <v/>
      </c>
      <c r="G9" s="66" t="str">
        <f>IF(DR!K16="","",FSE_2026)</f>
        <v/>
      </c>
      <c r="H9" s="66" t="str">
        <f>IF(DR!L16="","",FSE_2027)</f>
        <v/>
      </c>
      <c r="I9" s="66" t="str">
        <f>IF(ISERROR(F9-E9),"",F9-E9)</f>
        <v/>
      </c>
      <c r="J9" s="193" t="str">
        <f>IFERROR(I9/ABS(E9),"")</f>
        <v/>
      </c>
      <c r="K9" s="38"/>
    </row>
    <row r="10" spans="1:11" x14ac:dyDescent="0.3">
      <c r="A10" s="38"/>
      <c r="B10" s="423" t="s">
        <v>9</v>
      </c>
      <c r="C10" s="66" t="str">
        <f>IF(DR!D17="","",Gastos_Pessoal_2023)</f>
        <v/>
      </c>
      <c r="D10" s="66" t="str">
        <f>IF(DR!E17="","",Gastos_Pessoal_2024)</f>
        <v/>
      </c>
      <c r="E10" s="66" t="str">
        <f>IF(DR!F17="","",Gastos_Pessoal_2024)</f>
        <v/>
      </c>
      <c r="F10" s="66" t="str">
        <f>IF(DR!J17="","",Gastos_Pessoal_2025)</f>
        <v/>
      </c>
      <c r="G10" s="66" t="str">
        <f>IF(DR!K17="","",Gastos_Pessoal_2026)</f>
        <v/>
      </c>
      <c r="H10" s="66" t="str">
        <f>IF(DR!L17="","",Gastos_Pessoal_2027)</f>
        <v/>
      </c>
      <c r="I10" s="66" t="str">
        <f>IF(ISERROR(F10-E10),"",F10-E10)</f>
        <v/>
      </c>
      <c r="J10" s="193" t="str">
        <f>IFERROR(I10/ABS(E10),"")</f>
        <v/>
      </c>
      <c r="K10" s="38"/>
    </row>
    <row r="11" spans="1:11" ht="3" customHeight="1" x14ac:dyDescent="0.3">
      <c r="A11" s="38"/>
      <c r="B11" s="72"/>
      <c r="C11" s="426"/>
      <c r="D11" s="426"/>
      <c r="E11" s="426"/>
      <c r="F11" s="426"/>
      <c r="G11" s="426"/>
      <c r="H11" s="426"/>
      <c r="I11" s="426"/>
      <c r="J11" s="427"/>
      <c r="K11" s="73"/>
    </row>
    <row r="12" spans="1:11" x14ac:dyDescent="0.3">
      <c r="A12" s="38"/>
      <c r="B12" s="422" t="s">
        <v>285</v>
      </c>
      <c r="C12" s="74" t="str">
        <f t="shared" ref="C12:H12" si="3">IF(COUNT(C13:C17)=0,"",SUM(C13:C17))</f>
        <v/>
      </c>
      <c r="D12" s="74" t="str">
        <f t="shared" si="3"/>
        <v/>
      </c>
      <c r="E12" s="74" t="str">
        <f t="shared" si="3"/>
        <v/>
      </c>
      <c r="F12" s="74" t="str">
        <f t="shared" si="3"/>
        <v/>
      </c>
      <c r="G12" s="74" t="str">
        <f t="shared" si="3"/>
        <v/>
      </c>
      <c r="H12" s="74" t="str">
        <f t="shared" si="3"/>
        <v/>
      </c>
      <c r="I12" s="74" t="str">
        <f t="shared" ref="I12" si="4">IF(ISERROR(F12-E12),"",F12-E12)</f>
        <v/>
      </c>
      <c r="J12" s="84" t="str">
        <f t="shared" ref="J12:J17" si="5">IFERROR(I12/ABS(E12),"")</f>
        <v/>
      </c>
      <c r="K12" s="38"/>
    </row>
    <row r="13" spans="1:11" x14ac:dyDescent="0.3">
      <c r="A13" s="38"/>
      <c r="B13" s="423" t="s">
        <v>148</v>
      </c>
      <c r="C13" s="184"/>
      <c r="D13" s="184"/>
      <c r="E13" s="184"/>
      <c r="F13" s="184"/>
      <c r="G13" s="184"/>
      <c r="H13" s="184"/>
      <c r="I13" s="66" t="str">
        <f t="shared" ref="I13:I17" si="6">IF(AND(E13="",F13=""),"",IF(ISERROR(F13-E13),"",F13-E13))</f>
        <v/>
      </c>
      <c r="J13" s="71" t="str">
        <f t="shared" si="5"/>
        <v/>
      </c>
      <c r="K13" s="38"/>
    </row>
    <row r="14" spans="1:11" x14ac:dyDescent="0.3">
      <c r="A14" s="38"/>
      <c r="B14" s="423" t="s">
        <v>149</v>
      </c>
      <c r="C14" s="184"/>
      <c r="D14" s="184"/>
      <c r="E14" s="184"/>
      <c r="F14" s="184"/>
      <c r="G14" s="184"/>
      <c r="H14" s="184"/>
      <c r="I14" s="66" t="str">
        <f t="shared" si="6"/>
        <v/>
      </c>
      <c r="J14" s="71" t="str">
        <f t="shared" si="5"/>
        <v/>
      </c>
      <c r="K14" s="38"/>
    </row>
    <row r="15" spans="1:11" x14ac:dyDescent="0.3">
      <c r="A15" s="38"/>
      <c r="B15" s="384"/>
      <c r="C15" s="184"/>
      <c r="D15" s="184"/>
      <c r="E15" s="184"/>
      <c r="F15" s="184"/>
      <c r="G15" s="184"/>
      <c r="H15" s="184"/>
      <c r="I15" s="66" t="str">
        <f t="shared" si="6"/>
        <v/>
      </c>
      <c r="J15" s="71" t="str">
        <f t="shared" si="5"/>
        <v/>
      </c>
      <c r="K15" s="38"/>
    </row>
    <row r="16" spans="1:11" ht="13.5" customHeight="1" x14ac:dyDescent="0.3">
      <c r="A16" s="38"/>
      <c r="B16" s="384"/>
      <c r="C16" s="184"/>
      <c r="D16" s="184"/>
      <c r="E16" s="184"/>
      <c r="F16" s="184"/>
      <c r="G16" s="184"/>
      <c r="H16" s="184"/>
      <c r="I16" s="66" t="str">
        <f t="shared" si="6"/>
        <v/>
      </c>
      <c r="J16" s="71" t="str">
        <f t="shared" si="5"/>
        <v/>
      </c>
      <c r="K16" s="38"/>
    </row>
    <row r="17" spans="1:11" x14ac:dyDescent="0.3">
      <c r="A17" s="38"/>
      <c r="B17" s="384"/>
      <c r="C17" s="184"/>
      <c r="D17" s="184"/>
      <c r="E17" s="184"/>
      <c r="F17" s="184"/>
      <c r="G17" s="184"/>
      <c r="H17" s="184"/>
      <c r="I17" s="66" t="str">
        <f t="shared" si="6"/>
        <v/>
      </c>
      <c r="J17" s="71" t="str">
        <f t="shared" si="5"/>
        <v/>
      </c>
      <c r="K17" s="38"/>
    </row>
    <row r="18" spans="1:11" ht="4.5" customHeight="1" x14ac:dyDescent="0.3">
      <c r="A18" s="38"/>
      <c r="B18" s="75"/>
      <c r="C18" s="335"/>
      <c r="D18" s="335"/>
      <c r="E18" s="335"/>
      <c r="F18" s="335"/>
      <c r="G18" s="335"/>
      <c r="H18" s="335"/>
      <c r="I18" s="335"/>
      <c r="J18" s="428"/>
      <c r="K18" s="75"/>
    </row>
    <row r="19" spans="1:11" ht="18" customHeight="1" x14ac:dyDescent="0.3">
      <c r="A19" s="38"/>
      <c r="B19" s="424" t="s">
        <v>228</v>
      </c>
      <c r="C19" s="49" t="str">
        <f>IF(COUNT(C7,C12)=0,"",-SUM(C7,C12))</f>
        <v/>
      </c>
      <c r="D19" s="49" t="str">
        <f t="shared" ref="D19" si="7">IF(COUNT(D7,D12)=0,"",-SUM(D7,D12))</f>
        <v/>
      </c>
      <c r="E19" s="49" t="str">
        <f t="shared" ref="E19:G19" si="8">IF(COUNT(E7,E12)=0,"",-SUM(E7,E12))</f>
        <v/>
      </c>
      <c r="F19" s="49" t="str">
        <f t="shared" si="8"/>
        <v/>
      </c>
      <c r="G19" s="49" t="str">
        <f t="shared" si="8"/>
        <v/>
      </c>
      <c r="H19" s="49" t="str">
        <f>IF(COUNT(H7,H12)=0,"",-SUM(H7,H12))</f>
        <v/>
      </c>
      <c r="I19" s="49" t="str">
        <f>IF(ISERROR(F19-E19),"",F19-E19)</f>
        <v/>
      </c>
      <c r="J19" s="194" t="str">
        <f>IFERROR(I19/ABS(E19),"")</f>
        <v/>
      </c>
      <c r="K19" s="38"/>
    </row>
    <row r="20" spans="1:11" x14ac:dyDescent="0.3">
      <c r="A20" s="38"/>
      <c r="B20" s="75"/>
      <c r="C20" s="335"/>
      <c r="D20" s="335"/>
      <c r="E20" s="335"/>
      <c r="F20" s="335"/>
      <c r="G20" s="335"/>
      <c r="H20" s="335"/>
      <c r="I20" s="335"/>
      <c r="J20" s="429"/>
      <c r="K20" s="75"/>
    </row>
    <row r="21" spans="1:11" x14ac:dyDescent="0.3">
      <c r="A21" s="38"/>
      <c r="B21" s="422" t="s">
        <v>232</v>
      </c>
      <c r="C21" s="74" t="str">
        <f>IF(SUM(C22:C24)=0,"",SUM(C22:C24))</f>
        <v/>
      </c>
      <c r="D21" s="74" t="str">
        <f t="shared" ref="D21" si="9">IF(SUM(D22:D24)=0,"",SUM(D22:D24))</f>
        <v/>
      </c>
      <c r="E21" s="74" t="str">
        <f t="shared" ref="E21:H21" si="10">IF(SUM(E22:E24)=0,"",SUM(E22:E24))</f>
        <v/>
      </c>
      <c r="F21" s="74" t="str">
        <f t="shared" si="10"/>
        <v/>
      </c>
      <c r="G21" s="74" t="str">
        <f t="shared" si="10"/>
        <v/>
      </c>
      <c r="H21" s="74" t="str">
        <f t="shared" si="10"/>
        <v/>
      </c>
      <c r="I21" s="74" t="str">
        <f t="shared" ref="I21" si="11">IF(ISERROR(F21-E21),"",F21-E21)</f>
        <v/>
      </c>
      <c r="J21" s="192" t="str">
        <f t="shared" ref="J21" si="12">IFERROR(I21/ABS(E21),"")</f>
        <v/>
      </c>
      <c r="K21" s="38"/>
    </row>
    <row r="22" spans="1:11" x14ac:dyDescent="0.3">
      <c r="A22" s="38"/>
      <c r="B22" s="425" t="s">
        <v>3</v>
      </c>
      <c r="C22" s="66" t="str">
        <f>IF(DR!D9="","",Vendas_2023)</f>
        <v/>
      </c>
      <c r="D22" s="66" t="str">
        <f>IF(DR!E9="","",Vendas_2024)</f>
        <v/>
      </c>
      <c r="E22" s="66" t="str">
        <f>IF(DR!F9="","",Vendas_2024)</f>
        <v/>
      </c>
      <c r="F22" s="66" t="str">
        <f>IF(DR!J9="","",Vendas_2025)</f>
        <v/>
      </c>
      <c r="G22" s="66" t="str">
        <f>IF(DR!K9="","",Vendas_2026)</f>
        <v/>
      </c>
      <c r="H22" s="66" t="str">
        <f>IF(DR!L9="","",Vendas_2027)</f>
        <v/>
      </c>
      <c r="I22" s="66" t="str">
        <f>IF(ISERROR(F22-E22),"",F22-E22)</f>
        <v/>
      </c>
      <c r="J22" s="193" t="str">
        <f>IFERROR(I22/ABS(E22),"")</f>
        <v/>
      </c>
      <c r="K22" s="38"/>
    </row>
    <row r="23" spans="1:11" x14ac:dyDescent="0.3">
      <c r="A23" s="38"/>
      <c r="B23" s="425" t="s">
        <v>150</v>
      </c>
      <c r="C23" s="66" t="str">
        <f>IF(DR!D10="","",PS_2023)</f>
        <v/>
      </c>
      <c r="D23" s="66" t="str">
        <f>IF(DR!E10="","",PS_2024)</f>
        <v/>
      </c>
      <c r="E23" s="66" t="str">
        <f>IF(DR!F10="","",PS_2024)</f>
        <v/>
      </c>
      <c r="F23" s="66" t="str">
        <f>IF(DR!J10="","",PS_2025)</f>
        <v/>
      </c>
      <c r="G23" s="66" t="str">
        <f>IF(DR!K10="","",PS_2026)</f>
        <v/>
      </c>
      <c r="H23" s="66" t="str">
        <f>IF(DR!L10="","",PS_2027)</f>
        <v/>
      </c>
      <c r="I23" s="66" t="str">
        <f>IF(ISERROR(F23-E23),"",F23-E23)</f>
        <v/>
      </c>
      <c r="J23" s="193" t="str">
        <f>IFERROR(I23/ABS(E23),"")</f>
        <v/>
      </c>
      <c r="K23" s="38"/>
    </row>
    <row r="24" spans="1:11" ht="20.399999999999999" x14ac:dyDescent="0.3">
      <c r="A24" s="38"/>
      <c r="B24" s="423" t="s">
        <v>156</v>
      </c>
      <c r="C24" s="184"/>
      <c r="D24" s="184"/>
      <c r="E24" s="184"/>
      <c r="F24" s="184"/>
      <c r="G24" s="184"/>
      <c r="H24" s="184"/>
      <c r="I24" s="66" t="str">
        <f>IF(AND(E24="",F24=""),"",IF(ISERROR(F24-E24),"",F24-E24))</f>
        <v/>
      </c>
      <c r="J24" s="193" t="str">
        <f>IFERROR(I24/ABS(E24),"")</f>
        <v/>
      </c>
      <c r="K24" s="38"/>
    </row>
    <row r="25" spans="1:11" ht="13.5" customHeight="1" x14ac:dyDescent="0.3">
      <c r="A25" s="38"/>
      <c r="B25" s="422" t="s">
        <v>286</v>
      </c>
      <c r="C25" s="74" t="str">
        <f>IF(COUNT(C26:C28)=0,"",SUM(C26:C28))</f>
        <v/>
      </c>
      <c r="D25" s="74" t="str">
        <f>IF(COUNT(D26:D28)=0,"",SUM(D26:D28))</f>
        <v/>
      </c>
      <c r="E25" s="74" t="str">
        <f>IF(COUNT(E26:E28)=0,"",SUM(E26:E28))</f>
        <v/>
      </c>
      <c r="F25" s="74" t="str">
        <f t="shared" ref="F25:H25" si="13">IF(COUNT(F26:F28)=0,"",SUM(F26:F28))</f>
        <v/>
      </c>
      <c r="G25" s="74" t="str">
        <f t="shared" si="13"/>
        <v/>
      </c>
      <c r="H25" s="74" t="str">
        <f t="shared" si="13"/>
        <v/>
      </c>
      <c r="I25" s="74" t="str">
        <f t="shared" ref="I25" si="14">IF(ISERROR(F25-E25),"",F25-E25)</f>
        <v/>
      </c>
      <c r="J25" s="192" t="str">
        <f t="shared" ref="J25" si="15">IFERROR(I25/ABS(E25),"")</f>
        <v/>
      </c>
      <c r="K25" s="38"/>
    </row>
    <row r="26" spans="1:11" x14ac:dyDescent="0.3">
      <c r="A26" s="38"/>
      <c r="B26" s="423" t="s">
        <v>148</v>
      </c>
      <c r="C26" s="184"/>
      <c r="D26" s="184"/>
      <c r="E26" s="184"/>
      <c r="F26" s="184"/>
      <c r="G26" s="184"/>
      <c r="H26" s="184"/>
      <c r="I26" s="66"/>
      <c r="J26" s="193"/>
      <c r="K26" s="38"/>
    </row>
    <row r="27" spans="1:11" x14ac:dyDescent="0.3">
      <c r="A27" s="38"/>
      <c r="B27" s="423" t="s">
        <v>149</v>
      </c>
      <c r="C27" s="184"/>
      <c r="D27" s="184"/>
      <c r="E27" s="184"/>
      <c r="F27" s="184"/>
      <c r="G27" s="184"/>
      <c r="H27" s="184"/>
      <c r="I27" s="66"/>
      <c r="J27" s="193"/>
      <c r="K27" s="38"/>
    </row>
    <row r="28" spans="1:11" x14ac:dyDescent="0.3">
      <c r="A28" s="38"/>
      <c r="B28" s="423"/>
      <c r="C28" s="184"/>
      <c r="D28" s="184"/>
      <c r="E28" s="184"/>
      <c r="F28" s="184"/>
      <c r="G28" s="184"/>
      <c r="H28" s="184"/>
      <c r="I28" s="66" t="str">
        <f>IF(AND(E28="",F28=""),"",IF(ISERROR(F28-E28),"",F28-E28))</f>
        <v/>
      </c>
      <c r="J28" s="193"/>
      <c r="K28" s="38"/>
    </row>
    <row r="29" spans="1:11" ht="4.5" customHeight="1" x14ac:dyDescent="0.3">
      <c r="A29" s="38"/>
      <c r="B29" s="75"/>
      <c r="C29" s="76"/>
      <c r="D29" s="76"/>
      <c r="E29" s="76"/>
      <c r="F29" s="77"/>
      <c r="G29" s="76"/>
      <c r="H29" s="335"/>
      <c r="I29" s="335"/>
      <c r="J29" s="195"/>
      <c r="K29" s="75"/>
    </row>
    <row r="30" spans="1:11" x14ac:dyDescent="0.3">
      <c r="A30" s="38"/>
      <c r="B30" s="43" t="s">
        <v>229</v>
      </c>
      <c r="C30" s="50" t="str">
        <f>IF(COUNT(C21,C25)=0,"",SUM(C21,C25))</f>
        <v/>
      </c>
      <c r="D30" s="50" t="str">
        <f t="shared" ref="D30" si="16">IF(COUNT(D21,D25)=0,"",SUM(D21,D25))</f>
        <v/>
      </c>
      <c r="E30" s="50" t="str">
        <f t="shared" ref="E30:H30" si="17">IF(COUNT(E21,E25)=0,"",SUM(E21,E25))</f>
        <v/>
      </c>
      <c r="F30" s="50" t="str">
        <f t="shared" si="17"/>
        <v/>
      </c>
      <c r="G30" s="50" t="str">
        <f t="shared" si="17"/>
        <v/>
      </c>
      <c r="H30" s="49" t="str">
        <f t="shared" si="17"/>
        <v/>
      </c>
      <c r="I30" s="49" t="str">
        <f>IF(ISERROR(F30-E30),"",F30-E30)</f>
        <v/>
      </c>
      <c r="J30" s="337" t="str">
        <f>IFERROR(I30/ABS(E30),"")</f>
        <v/>
      </c>
      <c r="K30" s="38"/>
    </row>
    <row r="31" spans="1:11" ht="3.75" customHeight="1" x14ac:dyDescent="0.3">
      <c r="A31" s="38"/>
      <c r="B31" s="38"/>
      <c r="C31" s="38"/>
      <c r="D31" s="38"/>
      <c r="E31" s="38"/>
      <c r="F31" s="48"/>
      <c r="G31" s="38"/>
      <c r="H31" s="339"/>
      <c r="I31" s="339"/>
      <c r="J31" s="196"/>
      <c r="K31" s="38"/>
    </row>
    <row r="32" spans="1:11" x14ac:dyDescent="0.3">
      <c r="A32" s="38"/>
      <c r="B32" s="51" t="s">
        <v>151</v>
      </c>
      <c r="C32" s="78" t="str">
        <f t="shared" ref="C32:H32" si="18">IFERROR(C19/C30,"")</f>
        <v/>
      </c>
      <c r="D32" s="79" t="str">
        <f t="shared" si="18"/>
        <v/>
      </c>
      <c r="E32" s="79" t="str">
        <f t="shared" si="18"/>
        <v/>
      </c>
      <c r="F32" s="80" t="str">
        <f t="shared" si="18"/>
        <v/>
      </c>
      <c r="G32" s="336" t="str">
        <f t="shared" si="18"/>
        <v/>
      </c>
      <c r="H32" s="78" t="str">
        <f t="shared" si="18"/>
        <v/>
      </c>
      <c r="I32" s="340" t="str">
        <f>IF(AND(E32="",F32=""),"",IF(ISERROR(F32-E32),"",F32-E32))</f>
        <v/>
      </c>
      <c r="J32" s="338"/>
      <c r="K32" s="38"/>
    </row>
    <row r="33" spans="1:11" ht="24.75" customHeight="1" x14ac:dyDescent="0.3">
      <c r="A33" s="38"/>
      <c r="B33" s="470" t="s">
        <v>157</v>
      </c>
      <c r="C33" s="470"/>
      <c r="D33" s="470"/>
      <c r="E33" s="470"/>
      <c r="F33" s="470"/>
      <c r="G33" s="470"/>
      <c r="H33" s="470"/>
      <c r="I33" s="470"/>
      <c r="J33" s="470"/>
      <c r="K33" s="38"/>
    </row>
    <row r="34" spans="1:11" x14ac:dyDescent="0.3">
      <c r="A34" s="38"/>
      <c r="B34" s="470" t="s">
        <v>158</v>
      </c>
      <c r="C34" s="470"/>
      <c r="D34" s="470"/>
      <c r="E34" s="470"/>
      <c r="F34" s="470"/>
      <c r="G34" s="470"/>
      <c r="H34" s="470"/>
      <c r="I34" s="470"/>
      <c r="J34" s="470"/>
      <c r="K34" s="38"/>
    </row>
    <row r="35" spans="1:11" x14ac:dyDescent="0.3">
      <c r="A35" s="38"/>
      <c r="B35" s="470" t="s">
        <v>287</v>
      </c>
      <c r="C35" s="470"/>
      <c r="D35" s="470"/>
      <c r="E35" s="470"/>
      <c r="F35" s="470"/>
      <c r="G35" s="470"/>
      <c r="H35" s="470"/>
      <c r="I35" s="470"/>
      <c r="J35" s="470"/>
      <c r="K35" s="38"/>
    </row>
    <row r="36" spans="1:11" x14ac:dyDescent="0.3">
      <c r="A36" s="38"/>
      <c r="B36" s="470"/>
      <c r="C36" s="470"/>
      <c r="D36" s="470"/>
      <c r="E36" s="470"/>
      <c r="F36" s="470"/>
      <c r="G36" s="470"/>
      <c r="H36" s="470"/>
      <c r="I36" s="470"/>
      <c r="J36" s="470"/>
      <c r="K36" s="38"/>
    </row>
    <row r="37" spans="1:11" x14ac:dyDescent="0.3">
      <c r="A37" s="38"/>
      <c r="B37" s="470" t="str">
        <f>"Fonte: Proposta de PAO para "&amp;Instruções!C12</f>
        <v>Fonte: Proposta de PAO para 2025-2027</v>
      </c>
      <c r="C37" s="470"/>
      <c r="D37" s="470"/>
      <c r="E37" s="470"/>
      <c r="F37" s="470"/>
      <c r="G37" s="470"/>
      <c r="H37" s="470"/>
      <c r="I37" s="470"/>
      <c r="J37" s="470"/>
      <c r="K37" s="38"/>
    </row>
    <row r="38" spans="1:11" x14ac:dyDescent="0.3">
      <c r="A38" s="38"/>
      <c r="K38" s="38"/>
    </row>
    <row r="39" spans="1:11" hidden="1" x14ac:dyDescent="0.3">
      <c r="B39" s="467"/>
      <c r="C39" s="467"/>
      <c r="D39" s="467"/>
      <c r="E39" s="467"/>
      <c r="F39" s="467"/>
      <c r="G39" s="467"/>
      <c r="H39" s="467"/>
      <c r="I39" s="467"/>
      <c r="J39" s="467"/>
    </row>
    <row r="40" spans="1:11" hidden="1" x14ac:dyDescent="0.3">
      <c r="B40" s="314" t="s">
        <v>304</v>
      </c>
    </row>
    <row r="41" spans="1:11" hidden="1" x14ac:dyDescent="0.3">
      <c r="B41" s="314" t="s">
        <v>319</v>
      </c>
    </row>
    <row r="42" spans="1:11" hidden="1" x14ac:dyDescent="0.3"/>
    <row r="43" spans="1:11" hidden="1" x14ac:dyDescent="0.3"/>
    <row r="44" spans="1:11" hidden="1" x14ac:dyDescent="0.3"/>
    <row r="45" spans="1:11" hidden="1" x14ac:dyDescent="0.3"/>
    <row r="46" spans="1:11" hidden="1" x14ac:dyDescent="0.3"/>
    <row r="47" spans="1:11" hidden="1" x14ac:dyDescent="0.3"/>
    <row r="48" spans="1:11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  <row r="60" hidden="1" x14ac:dyDescent="0.3"/>
    <row r="61" hidden="1" x14ac:dyDescent="0.3"/>
    <row r="62" hidden="1" x14ac:dyDescent="0.3"/>
    <row r="63" hidden="1" x14ac:dyDescent="0.3"/>
    <row r="64" hidden="1" x14ac:dyDescent="0.3"/>
    <row r="65" x14ac:dyDescent="0.3"/>
  </sheetData>
  <sheetProtection sheet="1" selectLockedCells="1"/>
  <mergeCells count="7">
    <mergeCell ref="B39:J39"/>
    <mergeCell ref="B5:B6"/>
    <mergeCell ref="I5:J5"/>
    <mergeCell ref="B33:J33"/>
    <mergeCell ref="B37:J37"/>
    <mergeCell ref="B34:J34"/>
    <mergeCell ref="B35:J36"/>
  </mergeCells>
  <dataValidations count="3">
    <dataValidation type="custom" allowBlank="1" showInputMessage="1" showErrorMessage="1" errorTitle="Erro" error="Não introduzir dados nesta célula" sqref="B4:J4 B37:J37 K4:K34 B34:J34 A4:A38 K36:K1048576" xr:uid="{00000000-0002-0000-0700-000000000000}">
      <formula1>"&lt;&gt;"""""</formula1>
    </dataValidation>
    <dataValidation allowBlank="1" showInputMessage="1" showErrorMessage="1" errorTitle="Erro" error="Não introduzir dados nesta célula" sqref="B35 K35" xr:uid="{00000000-0002-0000-0700-000001000000}"/>
    <dataValidation type="decimal" allowBlank="1" showInputMessage="1" showErrorMessage="1" errorTitle="Validação" error="Campo numérico. Introduzir valor." sqref="C13:H17 C26:H28 C24:H24" xr:uid="{00000000-0002-0000-0700-000002000000}">
      <formula1>-1E+22</formula1>
      <formula2>1E+22</formula2>
    </dataValidation>
  </dataValidations>
  <pageMargins left="0.7" right="0.7" top="0.75" bottom="0.75" header="0.3" footer="0.3"/>
  <pageSetup paperSize="9" scale="40" orientation="portrait" r:id="rId1"/>
  <ignoredErrors>
    <ignoredError sqref="I24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9">
    <tabColor theme="4" tint="0.59999389629810485"/>
  </sheetPr>
  <dimension ref="A1:L51"/>
  <sheetViews>
    <sheetView showGridLines="0" zoomScaleNormal="100" workbookViewId="0">
      <selection activeCell="C9" sqref="C9"/>
    </sheetView>
  </sheetViews>
  <sheetFormatPr defaultColWidth="0" defaultRowHeight="14.4" zeroHeight="1" x14ac:dyDescent="0.3"/>
  <cols>
    <col min="1" max="1" width="4.109375" style="38" customWidth="1"/>
    <col min="2" max="2" width="57.33203125" style="39" customWidth="1"/>
    <col min="3" max="5" width="12.6640625" style="39" customWidth="1"/>
    <col min="6" max="10" width="12.6640625" style="38" customWidth="1"/>
    <col min="11" max="11" width="6.33203125" style="38" customWidth="1"/>
    <col min="12" max="12" width="0" style="38" hidden="1" customWidth="1"/>
    <col min="13" max="16384" width="9.109375" style="38" hidden="1"/>
  </cols>
  <sheetData>
    <row r="1" spans="2:10" x14ac:dyDescent="0.3"/>
    <row r="2" spans="2:10" x14ac:dyDescent="0.3"/>
    <row r="3" spans="2:10" x14ac:dyDescent="0.3"/>
    <row r="4" spans="2:10" ht="14.4" customHeight="1" x14ac:dyDescent="0.3">
      <c r="B4" s="87"/>
      <c r="C4" s="87"/>
      <c r="D4" s="87"/>
      <c r="E4" s="87"/>
      <c r="F4" s="26"/>
      <c r="G4" s="26"/>
      <c r="H4" s="26" t="s">
        <v>147</v>
      </c>
      <c r="I4" s="25"/>
    </row>
    <row r="5" spans="2:10" ht="15" customHeight="1" x14ac:dyDescent="0.3">
      <c r="B5" s="453" t="s">
        <v>152</v>
      </c>
      <c r="C5" s="10">
        <f>IF(Instruções!C10="","",IF(ISERROR(Instruções!C10),"",Instruções!C10-1))</f>
        <v>2023</v>
      </c>
      <c r="D5" s="44">
        <f>IF(Instruções!$C$10="","",IF(ISERROR(Instruções!$C$10),"",Instruções!$C$10))</f>
        <v>2024</v>
      </c>
      <c r="E5" s="44">
        <f>IF(Instruções!$C$10="","",IF(ISERROR(Instruções!$C$10),"",Instruções!$C$10))</f>
        <v>2024</v>
      </c>
      <c r="F5" s="362">
        <f>IF(Instruções!C10="","",IF(ISERROR(Instruções!C10),"",Instruções!C10+1))</f>
        <v>2025</v>
      </c>
      <c r="G5" s="362">
        <f>IF(Instruções!C10="","",IF(ISERROR(Instruções!C10),"",Instruções!C10+2))</f>
        <v>2026</v>
      </c>
      <c r="H5" s="362">
        <f>IF(Instruções!C10="","",IF(ISERROR(Instruções!C10),"",Instruções!C10+3))</f>
        <v>2027</v>
      </c>
      <c r="I5" s="469" t="str">
        <f>IF(ISERROR("Δ ("&amp;Instruções!C10+1&amp;"-"&amp;Instruções!C10&amp;")"),"","Δ ("&amp;Instruções!C10+1&amp;"-"&amp;Instruções!C10&amp;")")</f>
        <v>Δ (2025-2024)</v>
      </c>
      <c r="J5" s="469"/>
    </row>
    <row r="6" spans="2:10" ht="14.25" customHeight="1" x14ac:dyDescent="0.3">
      <c r="B6" s="453"/>
      <c r="C6" s="11" t="str">
        <f>IF(C5="","","Execução")</f>
        <v>Execução</v>
      </c>
      <c r="D6" s="244" t="str">
        <f>IF(D5="","","PAO")</f>
        <v>PAO</v>
      </c>
      <c r="E6" s="244" t="str">
        <f>IF(E5="","","Estimativa")</f>
        <v>Estimativa</v>
      </c>
      <c r="F6" s="47" t="str">
        <f>IF(F5="","","Previsão")</f>
        <v>Previsão</v>
      </c>
      <c r="G6" s="47" t="str">
        <f>IF(G5="","","Previsão")</f>
        <v>Previsão</v>
      </c>
      <c r="H6" s="47" t="str">
        <f>IF(H5="","","Previsão")</f>
        <v>Previsão</v>
      </c>
      <c r="I6" s="11" t="s">
        <v>117</v>
      </c>
      <c r="J6" s="11" t="s">
        <v>118</v>
      </c>
    </row>
    <row r="7" spans="2:10" s="263" customFormat="1" ht="3" customHeight="1" x14ac:dyDescent="0.3">
      <c r="F7" s="434"/>
      <c r="G7" s="434"/>
      <c r="H7" s="434"/>
      <c r="I7" s="434"/>
      <c r="J7" s="434"/>
    </row>
    <row r="8" spans="2:10" ht="21.75" customHeight="1" x14ac:dyDescent="0.3">
      <c r="B8" s="43" t="s">
        <v>329</v>
      </c>
      <c r="C8" s="49" t="str">
        <f t="shared" ref="C8:H8" si="0">IF(COUNT(C9:C11)=0,"",SUM(C9:C11))</f>
        <v/>
      </c>
      <c r="D8" s="245" t="str">
        <f t="shared" si="0"/>
        <v/>
      </c>
      <c r="E8" s="430" t="str">
        <f t="shared" si="0"/>
        <v/>
      </c>
      <c r="F8" s="49" t="str">
        <f t="shared" si="0"/>
        <v/>
      </c>
      <c r="G8" s="49" t="str">
        <f t="shared" si="0"/>
        <v/>
      </c>
      <c r="H8" s="49" t="str">
        <f t="shared" si="0"/>
        <v/>
      </c>
      <c r="I8" s="49" t="str">
        <f>IF(AND(E8="",F8=""),"",IF(ISERROR(F8-E8),"",F8-E8))</f>
        <v/>
      </c>
      <c r="J8" s="46" t="str">
        <f>IFERROR(I8/ABS(E8),"")</f>
        <v/>
      </c>
    </row>
    <row r="9" spans="2:10" x14ac:dyDescent="0.3">
      <c r="B9" s="65" t="s">
        <v>330</v>
      </c>
      <c r="C9" s="183"/>
      <c r="D9" s="183"/>
      <c r="E9" s="183"/>
      <c r="F9" s="184"/>
      <c r="G9" s="184"/>
      <c r="H9" s="184"/>
      <c r="I9" s="66" t="str">
        <f>IF(AND(E9="",F9=""),"",IF(ISERROR(F9-E9),"",F9-E9))</f>
        <v/>
      </c>
      <c r="J9" s="111" t="str">
        <f>IFERROR(I9/ABS(E9),"")</f>
        <v/>
      </c>
    </row>
    <row r="10" spans="2:10" x14ac:dyDescent="0.3">
      <c r="B10" s="65" t="s">
        <v>331</v>
      </c>
      <c r="C10" s="183"/>
      <c r="D10" s="183"/>
      <c r="E10" s="183"/>
      <c r="F10" s="184"/>
      <c r="G10" s="184"/>
      <c r="H10" s="184"/>
      <c r="I10" s="66" t="str">
        <f>IF(AND(E10="",F10=""),"",IF(ISERROR(F10-E10),"",F10-E10))</f>
        <v/>
      </c>
      <c r="J10" s="111" t="str">
        <f>IFERROR(I10/ABS(E10),"")</f>
        <v/>
      </c>
    </row>
    <row r="11" spans="2:10" x14ac:dyDescent="0.3">
      <c r="B11" s="65" t="s">
        <v>332</v>
      </c>
      <c r="C11" s="183"/>
      <c r="D11" s="183"/>
      <c r="E11" s="183"/>
      <c r="F11" s="184"/>
      <c r="G11" s="184"/>
      <c r="H11" s="184"/>
      <c r="I11" s="66" t="str">
        <f>IF(AND(E11="",F11=""),"",IF(ISERROR(F11-E11),"",F11-E11))</f>
        <v/>
      </c>
      <c r="J11" s="111" t="str">
        <f>IFERROR(I11/ABS(E11),"")</f>
        <v/>
      </c>
    </row>
    <row r="12" spans="2:10" ht="5.25" customHeight="1" x14ac:dyDescent="0.3">
      <c r="B12" s="73"/>
      <c r="C12" s="88"/>
      <c r="D12" s="88"/>
      <c r="E12" s="89"/>
      <c r="F12" s="350"/>
      <c r="G12" s="350"/>
      <c r="H12" s="350"/>
      <c r="I12" s="350"/>
      <c r="J12" s="350"/>
    </row>
    <row r="13" spans="2:10" ht="21" customHeight="1" x14ac:dyDescent="0.3">
      <c r="B13" s="51" t="s">
        <v>262</v>
      </c>
      <c r="C13" s="91" t="str">
        <f t="shared" ref="C13:H13" si="1">IF(COUNT(C14:C20)=0,"",SUM(C14:C20))</f>
        <v/>
      </c>
      <c r="D13" s="91" t="str">
        <f t="shared" si="1"/>
        <v/>
      </c>
      <c r="E13" s="431" t="str">
        <f t="shared" si="1"/>
        <v/>
      </c>
      <c r="F13" s="91" t="str">
        <f t="shared" si="1"/>
        <v/>
      </c>
      <c r="G13" s="91" t="str">
        <f t="shared" si="1"/>
        <v/>
      </c>
      <c r="H13" s="91" t="str">
        <f t="shared" si="1"/>
        <v/>
      </c>
      <c r="I13" s="91" t="str">
        <f>IF(ISERROR(F13-E13),"",F13-E13)</f>
        <v/>
      </c>
      <c r="J13" s="341" t="str">
        <f>IFERROR(I13/ABS(E13),"")</f>
        <v/>
      </c>
    </row>
    <row r="14" spans="2:10" x14ac:dyDescent="0.3">
      <c r="B14" s="65" t="s">
        <v>263</v>
      </c>
      <c r="C14" s="183"/>
      <c r="D14" s="183"/>
      <c r="E14" s="183"/>
      <c r="F14" s="184"/>
      <c r="G14" s="184"/>
      <c r="H14" s="184"/>
      <c r="I14" s="66" t="str">
        <f t="shared" ref="I14:I20" si="2">IF(AND(E14="",F14=""),"",IF(ISERROR(F14-E14),"",F14-E14))</f>
        <v/>
      </c>
      <c r="J14" s="111" t="str">
        <f t="shared" ref="J14:J33" si="3">IFERROR(I14/ABS(E14),"")</f>
        <v/>
      </c>
    </row>
    <row r="15" spans="2:10" x14ac:dyDescent="0.3">
      <c r="B15" s="65" t="s">
        <v>124</v>
      </c>
      <c r="C15" s="183"/>
      <c r="D15" s="183"/>
      <c r="E15" s="183"/>
      <c r="F15" s="184"/>
      <c r="G15" s="184"/>
      <c r="H15" s="184"/>
      <c r="I15" s="66" t="str">
        <f t="shared" si="2"/>
        <v/>
      </c>
      <c r="J15" s="111" t="str">
        <f t="shared" si="3"/>
        <v/>
      </c>
    </row>
    <row r="16" spans="2:10" x14ac:dyDescent="0.3">
      <c r="B16" s="65" t="s">
        <v>125</v>
      </c>
      <c r="C16" s="183"/>
      <c r="D16" s="183"/>
      <c r="E16" s="183"/>
      <c r="F16" s="184"/>
      <c r="G16" s="184"/>
      <c r="H16" s="184"/>
      <c r="I16" s="66" t="str">
        <f t="shared" si="2"/>
        <v/>
      </c>
      <c r="J16" s="111" t="str">
        <f t="shared" si="3"/>
        <v/>
      </c>
    </row>
    <row r="17" spans="2:10" x14ac:dyDescent="0.3">
      <c r="B17" s="65" t="s">
        <v>153</v>
      </c>
      <c r="C17" s="183"/>
      <c r="D17" s="183"/>
      <c r="E17" s="183"/>
      <c r="F17" s="184"/>
      <c r="G17" s="184"/>
      <c r="H17" s="184"/>
      <c r="I17" s="66" t="str">
        <f>IF(AND(E17="",F17=""),"",IF(ISERROR(F17-E17),"",F17-E17))</f>
        <v/>
      </c>
      <c r="J17" s="111" t="str">
        <f t="shared" si="3"/>
        <v/>
      </c>
    </row>
    <row r="18" spans="2:10" x14ac:dyDescent="0.3">
      <c r="B18" s="65" t="s">
        <v>130</v>
      </c>
      <c r="C18" s="183"/>
      <c r="D18" s="183"/>
      <c r="E18" s="183"/>
      <c r="F18" s="184"/>
      <c r="G18" s="184"/>
      <c r="H18" s="184"/>
      <c r="I18" s="66" t="str">
        <f t="shared" si="2"/>
        <v/>
      </c>
      <c r="J18" s="111" t="str">
        <f t="shared" si="3"/>
        <v/>
      </c>
    </row>
    <row r="19" spans="2:10" x14ac:dyDescent="0.3">
      <c r="B19" s="65" t="s">
        <v>155</v>
      </c>
      <c r="C19" s="183"/>
      <c r="D19" s="183"/>
      <c r="E19" s="183"/>
      <c r="F19" s="184"/>
      <c r="G19" s="184"/>
      <c r="H19" s="184"/>
      <c r="I19" s="66" t="str">
        <f t="shared" si="2"/>
        <v/>
      </c>
      <c r="J19" s="111" t="str">
        <f t="shared" si="3"/>
        <v/>
      </c>
    </row>
    <row r="20" spans="2:10" x14ac:dyDescent="0.3">
      <c r="B20" s="65" t="s">
        <v>154</v>
      </c>
      <c r="C20" s="183"/>
      <c r="D20" s="183"/>
      <c r="E20" s="183"/>
      <c r="F20" s="184"/>
      <c r="G20" s="184"/>
      <c r="H20" s="184"/>
      <c r="I20" s="66" t="str">
        <f t="shared" si="2"/>
        <v/>
      </c>
      <c r="J20" s="111" t="str">
        <f t="shared" si="3"/>
        <v/>
      </c>
    </row>
    <row r="21" spans="2:10" ht="3" customHeight="1" x14ac:dyDescent="0.3">
      <c r="B21" s="255"/>
      <c r="C21" s="256"/>
      <c r="D21" s="311"/>
      <c r="E21" s="432"/>
      <c r="F21" s="256"/>
      <c r="G21" s="256"/>
      <c r="H21" s="256"/>
      <c r="I21" s="347"/>
      <c r="J21" s="253"/>
    </row>
    <row r="22" spans="2:10" x14ac:dyDescent="0.3">
      <c r="B22" s="43" t="s">
        <v>303</v>
      </c>
      <c r="C22" s="49"/>
      <c r="D22" s="245"/>
      <c r="E22" s="430"/>
      <c r="F22" s="49"/>
      <c r="G22" s="49"/>
      <c r="H22" s="49"/>
      <c r="I22" s="49"/>
      <c r="J22" s="46"/>
    </row>
    <row r="23" spans="2:10" x14ac:dyDescent="0.3">
      <c r="B23" s="321" t="str">
        <f>"(i) Gastos com as contratações autorizadas ou previstas em "&amp;Instruções!C10</f>
        <v>(i) Gastos com as contratações autorizadas ou previstas em 2024</v>
      </c>
      <c r="C23" s="183"/>
      <c r="D23" s="183"/>
      <c r="E23" s="183"/>
      <c r="F23" s="184"/>
      <c r="G23" s="184"/>
      <c r="H23" s="184"/>
      <c r="I23" s="66" t="str">
        <f>IF(AND(E23="",F23=""),"",IF(ISERROR(F23-E23),"",F23-E23))</f>
        <v/>
      </c>
      <c r="J23" s="111" t="str">
        <f>IFERROR(I23/ABS(E23),"")</f>
        <v/>
      </c>
    </row>
    <row r="24" spans="2:10" x14ac:dyDescent="0.3">
      <c r="B24" s="65" t="s">
        <v>309</v>
      </c>
      <c r="C24" s="183"/>
      <c r="D24" s="183"/>
      <c r="E24" s="183"/>
      <c r="F24" s="184"/>
      <c r="G24" s="184"/>
      <c r="H24" s="184"/>
      <c r="I24" s="66" t="str">
        <f>IF(AND(E24="",F24=""),"",IF(ISERROR(F24-E24),"",F24-E24))</f>
        <v/>
      </c>
      <c r="J24" s="111" t="str">
        <f>IFERROR(I24/ABS(E24),"")</f>
        <v/>
      </c>
    </row>
    <row r="25" spans="2:10" x14ac:dyDescent="0.3">
      <c r="B25" s="65" t="s">
        <v>261</v>
      </c>
      <c r="C25" s="183"/>
      <c r="D25" s="183"/>
      <c r="E25" s="183"/>
      <c r="F25" s="184"/>
      <c r="G25" s="184"/>
      <c r="H25" s="184"/>
      <c r="I25" s="66" t="str">
        <f>IF(AND(E25="",F25=""),"",IF(ISERROR(F25-E25),"",F25-E25))</f>
        <v/>
      </c>
      <c r="J25" s="111" t="str">
        <f>IFERROR(I25/ABS(E25),"")</f>
        <v/>
      </c>
    </row>
    <row r="26" spans="2:10" x14ac:dyDescent="0.3">
      <c r="B26" s="65" t="s">
        <v>310</v>
      </c>
      <c r="C26" s="183"/>
      <c r="D26" s="183"/>
      <c r="E26" s="183"/>
      <c r="F26" s="184"/>
      <c r="G26" s="184"/>
      <c r="H26" s="184"/>
      <c r="I26" s="66"/>
      <c r="J26" s="111"/>
    </row>
    <row r="27" spans="2:10" x14ac:dyDescent="0.3">
      <c r="B27" s="65" t="s">
        <v>311</v>
      </c>
      <c r="C27" s="183"/>
      <c r="D27" s="183"/>
      <c r="E27" s="183"/>
      <c r="F27" s="184"/>
      <c r="G27" s="184"/>
      <c r="H27" s="184"/>
      <c r="I27" s="66" t="str">
        <f>IF(AND(E27="",F27=""),"",IF(ISERROR(F27-E27),"",F27-E27))</f>
        <v/>
      </c>
      <c r="J27" s="111" t="str">
        <f>IFERROR(I27/ABS(E27),"")</f>
        <v/>
      </c>
    </row>
    <row r="28" spans="2:10" x14ac:dyDescent="0.3">
      <c r="B28" s="65" t="s">
        <v>312</v>
      </c>
      <c r="C28" s="183"/>
      <c r="D28" s="183"/>
      <c r="E28" s="183"/>
      <c r="F28" s="184"/>
      <c r="G28" s="184"/>
      <c r="H28" s="184"/>
      <c r="I28" s="66" t="str">
        <f>IF(AND(E28="",F28=""),"",IF(ISERROR(F28-E28),"",F28-E28))</f>
        <v/>
      </c>
      <c r="J28" s="111" t="str">
        <f>IFERROR(I28/ABS(E28),"")</f>
        <v/>
      </c>
    </row>
    <row r="29" spans="2:10" x14ac:dyDescent="0.3">
      <c r="B29" s="65" t="s">
        <v>314</v>
      </c>
      <c r="C29" s="183"/>
      <c r="D29" s="183"/>
      <c r="E29" s="183"/>
      <c r="F29" s="184"/>
      <c r="G29" s="184"/>
      <c r="H29" s="184"/>
      <c r="I29" s="66"/>
      <c r="J29" s="111"/>
    </row>
    <row r="30" spans="2:10" ht="5.25" customHeight="1" x14ac:dyDescent="0.3">
      <c r="B30" s="73"/>
      <c r="C30" s="88"/>
      <c r="D30" s="88"/>
      <c r="E30" s="89"/>
      <c r="F30" s="350"/>
      <c r="G30" s="350"/>
      <c r="H30" s="350"/>
      <c r="I30" s="350"/>
      <c r="J30" s="435"/>
    </row>
    <row r="31" spans="2:10" ht="15" customHeight="1" x14ac:dyDescent="0.3">
      <c r="B31" s="43" t="s">
        <v>320</v>
      </c>
      <c r="C31" s="49"/>
      <c r="D31" s="245"/>
      <c r="E31" s="430"/>
      <c r="F31" s="49"/>
      <c r="G31" s="49"/>
      <c r="H31" s="49"/>
      <c r="I31" s="49"/>
      <c r="J31" s="46"/>
    </row>
    <row r="32" spans="2:10" x14ac:dyDescent="0.3">
      <c r="B32" s="65" t="s">
        <v>218</v>
      </c>
      <c r="C32" s="66" t="str">
        <f t="shared" ref="C32:H32" si="4">IF(C14="","",-C14)</f>
        <v/>
      </c>
      <c r="D32" s="243" t="str">
        <f t="shared" si="4"/>
        <v/>
      </c>
      <c r="E32" s="433" t="str">
        <f t="shared" si="4"/>
        <v/>
      </c>
      <c r="F32" s="66" t="str">
        <f t="shared" si="4"/>
        <v/>
      </c>
      <c r="G32" s="66" t="str">
        <f t="shared" si="4"/>
        <v/>
      </c>
      <c r="H32" s="66" t="str">
        <f t="shared" si="4"/>
        <v/>
      </c>
      <c r="I32" s="66" t="str">
        <f t="shared" ref="I32" si="5">IF(ISERROR(F32-E32),"",F32-E32)</f>
        <v/>
      </c>
      <c r="J32" s="111" t="str">
        <f t="shared" si="3"/>
        <v/>
      </c>
    </row>
    <row r="33" spans="2:10" x14ac:dyDescent="0.3">
      <c r="B33" s="65" t="s">
        <v>126</v>
      </c>
      <c r="C33" s="66" t="str">
        <f t="shared" ref="C33:H33" si="6">IF(C25="","",-C25)</f>
        <v/>
      </c>
      <c r="D33" s="66" t="str">
        <f t="shared" si="6"/>
        <v/>
      </c>
      <c r="E33" s="67" t="str">
        <f t="shared" si="6"/>
        <v/>
      </c>
      <c r="F33" s="66" t="str">
        <f t="shared" si="6"/>
        <v/>
      </c>
      <c r="G33" s="66" t="str">
        <f t="shared" si="6"/>
        <v/>
      </c>
      <c r="H33" s="66" t="str">
        <f t="shared" si="6"/>
        <v/>
      </c>
      <c r="I33" s="66" t="str">
        <f t="shared" ref="I33" si="7">IF(AND(E33="",F33=""),"",IF(ISERROR(F33-E33),"",F33-E33))</f>
        <v/>
      </c>
      <c r="J33" s="111" t="str">
        <f t="shared" si="3"/>
        <v/>
      </c>
    </row>
    <row r="34" spans="2:10" x14ac:dyDescent="0.3">
      <c r="B34" s="65" t="s">
        <v>127</v>
      </c>
      <c r="C34" s="66" t="str">
        <f t="shared" ref="C34:H34" si="8">IF(C27="","",-C27)</f>
        <v/>
      </c>
      <c r="D34" s="66" t="str">
        <f t="shared" si="8"/>
        <v/>
      </c>
      <c r="E34" s="67" t="str">
        <f t="shared" si="8"/>
        <v/>
      </c>
      <c r="F34" s="66" t="str">
        <f t="shared" si="8"/>
        <v/>
      </c>
      <c r="G34" s="66" t="str">
        <f t="shared" si="8"/>
        <v/>
      </c>
      <c r="H34" s="66" t="str">
        <f t="shared" si="8"/>
        <v/>
      </c>
      <c r="I34" s="66" t="str">
        <f>IF(AND(E34="",F34=""),"",IF(ISERROR(F34-E34),"",F34-E34))</f>
        <v/>
      </c>
      <c r="J34" s="111" t="str">
        <f>IFERROR(I34/ABS(E34),"")</f>
        <v/>
      </c>
    </row>
    <row r="35" spans="2:10" x14ac:dyDescent="0.3">
      <c r="B35" s="65" t="s">
        <v>315</v>
      </c>
      <c r="C35" s="66" t="str">
        <f>IF(C29="","",-(C19-C29))</f>
        <v/>
      </c>
      <c r="D35" s="66" t="str">
        <f t="shared" ref="D35:H35" si="9">IF(D29="","",-(D19-D29))</f>
        <v/>
      </c>
      <c r="E35" s="67" t="str">
        <f t="shared" si="9"/>
        <v/>
      </c>
      <c r="F35" s="66" t="str">
        <f t="shared" si="9"/>
        <v/>
      </c>
      <c r="G35" s="66" t="str">
        <f t="shared" si="9"/>
        <v/>
      </c>
      <c r="H35" s="66" t="str">
        <f t="shared" si="9"/>
        <v/>
      </c>
      <c r="I35" s="66" t="str">
        <f>IF(AND(E35="",F35=""),"",IF(ISERROR(F35-E35),"",F35-E35))</f>
        <v/>
      </c>
      <c r="J35" s="111" t="str">
        <f>IFERROR(I35/ABS(E35),"")</f>
        <v/>
      </c>
    </row>
    <row r="36" spans="2:10" x14ac:dyDescent="0.3">
      <c r="B36" s="65" t="s">
        <v>128</v>
      </c>
      <c r="C36" s="183"/>
      <c r="D36" s="183"/>
      <c r="E36" s="183"/>
      <c r="F36" s="184"/>
      <c r="G36" s="184"/>
      <c r="H36" s="184"/>
      <c r="I36" s="66" t="str">
        <f>IF(AND(E36="",F36=""),"",IF(ISERROR(F36-E36),"",F36-E36))</f>
        <v/>
      </c>
      <c r="J36" s="111" t="str">
        <f>IFERROR(I36/ABS(E36),"")</f>
        <v/>
      </c>
    </row>
    <row r="37" spans="2:10" x14ac:dyDescent="0.3">
      <c r="B37" s="73"/>
      <c r="C37" s="90"/>
      <c r="D37" s="90"/>
      <c r="E37" s="90"/>
      <c r="F37" s="435"/>
      <c r="G37" s="435"/>
      <c r="H37" s="435"/>
      <c r="I37" s="435"/>
      <c r="J37" s="435"/>
    </row>
    <row r="38" spans="2:10" ht="21" customHeight="1" x14ac:dyDescent="0.3">
      <c r="B38" s="51" t="s">
        <v>219</v>
      </c>
      <c r="C38" s="91" t="str">
        <f t="shared" ref="C38:H38" si="10">IFERROR(C13+SUM(C32:C36),"")</f>
        <v/>
      </c>
      <c r="D38" s="91" t="str">
        <f t="shared" si="10"/>
        <v/>
      </c>
      <c r="E38" s="431" t="str">
        <f t="shared" si="10"/>
        <v/>
      </c>
      <c r="F38" s="91" t="str">
        <f t="shared" si="10"/>
        <v/>
      </c>
      <c r="G38" s="91" t="str">
        <f t="shared" si="10"/>
        <v/>
      </c>
      <c r="H38" s="91" t="str">
        <f t="shared" si="10"/>
        <v/>
      </c>
      <c r="I38" s="91" t="str">
        <f>IF(ISERROR(F38-E38),"",F38-E38)</f>
        <v/>
      </c>
      <c r="J38" s="341" t="str">
        <f>IFERROR(I38/ABS(E38),"")</f>
        <v/>
      </c>
    </row>
    <row r="39" spans="2:10" x14ac:dyDescent="0.3">
      <c r="B39" s="168" t="s">
        <v>267</v>
      </c>
      <c r="C39" s="94"/>
      <c r="D39" s="94"/>
      <c r="E39" s="94"/>
      <c r="F39" s="95"/>
      <c r="G39" s="95"/>
      <c r="H39" s="95"/>
      <c r="I39" s="95"/>
      <c r="J39" s="96"/>
    </row>
    <row r="40" spans="2:10" ht="15.75" customHeight="1" x14ac:dyDescent="0.3">
      <c r="B40" s="168" t="s">
        <v>264</v>
      </c>
      <c r="C40" s="94"/>
      <c r="D40" s="94"/>
      <c r="E40" s="94"/>
      <c r="F40" s="95"/>
      <c r="G40" s="95"/>
      <c r="H40" s="95"/>
      <c r="I40" s="95"/>
      <c r="J40" s="96"/>
    </row>
    <row r="41" spans="2:10" ht="21" customHeight="1" x14ac:dyDescent="0.3">
      <c r="B41" s="51" t="s">
        <v>221</v>
      </c>
      <c r="C41" s="78" t="str">
        <f t="shared" ref="C41:H41" si="11">IFERROR(C16/C38,"")</f>
        <v/>
      </c>
      <c r="D41" s="78" t="str">
        <f t="shared" si="11"/>
        <v/>
      </c>
      <c r="E41" s="78" t="str">
        <f t="shared" si="11"/>
        <v/>
      </c>
      <c r="F41" s="78" t="str">
        <f t="shared" si="11"/>
        <v/>
      </c>
      <c r="G41" s="78" t="str">
        <f t="shared" si="11"/>
        <v/>
      </c>
      <c r="H41" s="78" t="str">
        <f t="shared" si="11"/>
        <v/>
      </c>
      <c r="I41" s="92" t="str">
        <f>IF(ISERROR(F41-E41),"",F41-E41)</f>
        <v/>
      </c>
      <c r="J41" s="78" t="str">
        <f>IFERROR(I41/ABS(E41),"")</f>
        <v/>
      </c>
    </row>
    <row r="42" spans="2:10" ht="21" customHeight="1" x14ac:dyDescent="0.3">
      <c r="B42" s="51" t="s">
        <v>220</v>
      </c>
      <c r="C42" s="78" t="str">
        <f t="shared" ref="C42:H42" si="12">IFERROR(C15/C38,"")</f>
        <v/>
      </c>
      <c r="D42" s="78" t="str">
        <f t="shared" si="12"/>
        <v/>
      </c>
      <c r="E42" s="78" t="str">
        <f t="shared" si="12"/>
        <v/>
      </c>
      <c r="F42" s="78" t="str">
        <f t="shared" si="12"/>
        <v/>
      </c>
      <c r="G42" s="78" t="str">
        <f t="shared" si="12"/>
        <v/>
      </c>
      <c r="H42" s="78" t="str">
        <f t="shared" si="12"/>
        <v/>
      </c>
      <c r="I42" s="92" t="str">
        <f>IF(ISERROR(F42-E42),"",F42-E42)</f>
        <v/>
      </c>
      <c r="J42" s="78" t="str">
        <f>IFERROR(I42/ABS(E42),"")</f>
        <v/>
      </c>
    </row>
    <row r="43" spans="2:10" ht="21" customHeight="1" x14ac:dyDescent="0.3">
      <c r="B43" s="51" t="s">
        <v>222</v>
      </c>
      <c r="C43" s="78" t="str">
        <f t="shared" ref="C43:H43" si="13">IFERROR(C14/C38,"")</f>
        <v/>
      </c>
      <c r="D43" s="78" t="str">
        <f t="shared" si="13"/>
        <v/>
      </c>
      <c r="E43" s="78" t="str">
        <f t="shared" si="13"/>
        <v/>
      </c>
      <c r="F43" s="78" t="str">
        <f t="shared" si="13"/>
        <v/>
      </c>
      <c r="G43" s="78" t="str">
        <f t="shared" si="13"/>
        <v/>
      </c>
      <c r="H43" s="78" t="str">
        <f t="shared" si="13"/>
        <v/>
      </c>
      <c r="I43" s="92" t="str">
        <f>IF(ISERROR(F43-E43),"",F43-E43)</f>
        <v/>
      </c>
      <c r="J43" s="78" t="str">
        <f>IFERROR(I43/ABS(E43),"")</f>
        <v/>
      </c>
    </row>
    <row r="44" spans="2:10" x14ac:dyDescent="0.3"/>
    <row r="45" spans="2:10" x14ac:dyDescent="0.3"/>
    <row r="46" spans="2:10" x14ac:dyDescent="0.3">
      <c r="B46" s="175" t="s">
        <v>233</v>
      </c>
      <c r="C46" s="264" t="str">
        <f>+IFERROR(C13-Gastos_Pessoal_2023,"-")</f>
        <v>-</v>
      </c>
      <c r="D46" s="191" t="str">
        <f>+IFERROR(D13-Gastos_Pessoal_2024,"-")</f>
        <v>-</v>
      </c>
      <c r="E46" s="191" t="str">
        <f>+IFERROR(E13-Gastos_Pessoal_2024,"-")</f>
        <v>-</v>
      </c>
      <c r="F46" s="191" t="str">
        <f>+IFERROR(F13-Gastos_Pessoal_2025,"-")</f>
        <v>-</v>
      </c>
      <c r="G46" s="191" t="str">
        <f>+IFERROR(G13-Gastos_Pessoal_2026,"-")</f>
        <v>-</v>
      </c>
      <c r="H46" s="191" t="str">
        <f>+IFERROR(H13-Gastos_Pessoal_2027,"-")</f>
        <v>-</v>
      </c>
    </row>
    <row r="47" spans="2:10" x14ac:dyDescent="0.3"/>
    <row r="48" spans="2:10" hidden="1" x14ac:dyDescent="0.3"/>
    <row r="49" hidden="1" x14ac:dyDescent="0.3"/>
    <row r="50" hidden="1" x14ac:dyDescent="0.3"/>
    <row r="51" hidden="1" x14ac:dyDescent="0.3"/>
  </sheetData>
  <sheetProtection sheet="1" selectLockedCells="1"/>
  <mergeCells count="2">
    <mergeCell ref="I5:J5"/>
    <mergeCell ref="B5:B6"/>
  </mergeCells>
  <dataValidations count="4">
    <dataValidation type="custom" allowBlank="1" showInputMessage="1" showErrorMessage="1" errorTitle="Erro" error="Não introduzir dados nesta célula" sqref="H4:I4" xr:uid="{00000000-0002-0000-0800-000000000000}">
      <formula1>"&lt;&gt;"""""</formula1>
    </dataValidation>
    <dataValidation type="decimal" operator="greaterThanOrEqual" allowBlank="1" showInputMessage="1" showErrorMessage="1" error="Introduzir valor positivo" sqref="C21:E22 G21:H22 G31:H31 C31:E31" xr:uid="{00000000-0002-0000-0800-000001000000}">
      <formula1>0</formula1>
    </dataValidation>
    <dataValidation allowBlank="1" showInputMessage="1" showErrorMessage="1" errorTitle="Erro" error="Não introduzir dados nesta célula" sqref="B46:H46" xr:uid="{00000000-0002-0000-0800-000002000000}"/>
    <dataValidation type="decimal" allowBlank="1" showInputMessage="1" showErrorMessage="1" errorTitle="Validação" error="Campo numérico. Introduzir valor." sqref="C9:H11 C14:H20 C23:H29 C36:H36" xr:uid="{00000000-0002-0000-0800-000003000000}">
      <formula1>-1E+22</formula1>
      <formula2>1E+22</formula2>
    </dataValidation>
  </dataValidations>
  <pageMargins left="0.7" right="0.7" top="0.75" bottom="0.75" header="0.3" footer="0.3"/>
  <pageSetup paperSize="9" scale="40" orientation="portrait" r:id="rId1"/>
  <ignoredErrors>
    <ignoredError sqref="I13:J13 I38 I42:J4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13</vt:i4>
      </vt:variant>
      <vt:variant>
        <vt:lpstr>Intervalos com Nome</vt:lpstr>
      </vt:variant>
      <vt:variant>
        <vt:i4>152</vt:i4>
      </vt:variant>
    </vt:vector>
  </HeadingPairs>
  <TitlesOfParts>
    <vt:vector size="165" baseType="lpstr">
      <vt:lpstr>Índice</vt:lpstr>
      <vt:lpstr>Instruções</vt:lpstr>
      <vt:lpstr>Resumo</vt:lpstr>
      <vt:lpstr>BAL</vt:lpstr>
      <vt:lpstr>DR</vt:lpstr>
      <vt:lpstr>DFC</vt:lpstr>
      <vt:lpstr>Investimentos</vt:lpstr>
      <vt:lpstr>Eficiência operacional</vt:lpstr>
      <vt:lpstr>RH</vt:lpstr>
      <vt:lpstr>Mapa RH</vt:lpstr>
      <vt:lpstr>Outros</vt:lpstr>
      <vt:lpstr>Quadro Resumo</vt:lpstr>
      <vt:lpstr>Rácios Financeiros</vt:lpstr>
      <vt:lpstr>Arrears_2023</vt:lpstr>
      <vt:lpstr>Arrears_2024</vt:lpstr>
      <vt:lpstr>Arrears_2025</vt:lpstr>
      <vt:lpstr>Arrears_2026</vt:lpstr>
      <vt:lpstr>Arrears_2027</vt:lpstr>
      <vt:lpstr>Ativo</vt:lpstr>
      <vt:lpstr>Ativo_2023</vt:lpstr>
      <vt:lpstr>Ativo_2024</vt:lpstr>
      <vt:lpstr>Ativo_2025</vt:lpstr>
      <vt:lpstr>Ativo_2026</vt:lpstr>
      <vt:lpstr>Ativo_2027</vt:lpstr>
      <vt:lpstr>Ativo_Corrente</vt:lpstr>
      <vt:lpstr>Ativo_Corrente_2023</vt:lpstr>
      <vt:lpstr>Ativo_Corrente_2024</vt:lpstr>
      <vt:lpstr>Ativo_Corrente_2025</vt:lpstr>
      <vt:lpstr>Ativo_Corrente_2026</vt:lpstr>
      <vt:lpstr>Ativo_Corrente_2027</vt:lpstr>
      <vt:lpstr>Ativo_Não_Corrente</vt:lpstr>
      <vt:lpstr>Ativo_Não_Corrente_2023</vt:lpstr>
      <vt:lpstr>Ativo_Não_Corrente_2024</vt:lpstr>
      <vt:lpstr>Ativo_Não_Corrente_2025</vt:lpstr>
      <vt:lpstr>Ativo_Não_Corrente_2026</vt:lpstr>
      <vt:lpstr>Ativo_Não_Corrente_2027</vt:lpstr>
      <vt:lpstr>Caixa_DFC_2023</vt:lpstr>
      <vt:lpstr>Caixa_DFC_2024</vt:lpstr>
      <vt:lpstr>Caixa_DFC_2025</vt:lpstr>
      <vt:lpstr>Caixa_DFC_2026</vt:lpstr>
      <vt:lpstr>Caixa_DFC_2027</vt:lpstr>
      <vt:lpstr>CMVMC_2023</vt:lpstr>
      <vt:lpstr>CMVMC_2024</vt:lpstr>
      <vt:lpstr>CMVMC_2025</vt:lpstr>
      <vt:lpstr>CMVMC_2026</vt:lpstr>
      <vt:lpstr>CMVMC_2027</vt:lpstr>
      <vt:lpstr>Disponibilidade_2023</vt:lpstr>
      <vt:lpstr>Disponibilidade_2024</vt:lpstr>
      <vt:lpstr>Disponibilidade_2025</vt:lpstr>
      <vt:lpstr>Disponibilidade_2026</vt:lpstr>
      <vt:lpstr>Disponibilidade_2027</vt:lpstr>
      <vt:lpstr>E_Oper_2023</vt:lpstr>
      <vt:lpstr>E_Oper_2024</vt:lpstr>
      <vt:lpstr>E_Oper_2025</vt:lpstr>
      <vt:lpstr>E_Oper_2026</vt:lpstr>
      <vt:lpstr>E_Oper_2027</vt:lpstr>
      <vt:lpstr>EBITDA_2023</vt:lpstr>
      <vt:lpstr>EBITDA_2024</vt:lpstr>
      <vt:lpstr>EBITDA_2025</vt:lpstr>
      <vt:lpstr>EBITDA_2026</vt:lpstr>
      <vt:lpstr>EBITDA_2027</vt:lpstr>
      <vt:lpstr>FO_PC_2023</vt:lpstr>
      <vt:lpstr>FO_PC_2024</vt:lpstr>
      <vt:lpstr>FO_PC_2025</vt:lpstr>
      <vt:lpstr>FO_PC_2026</vt:lpstr>
      <vt:lpstr>FO_PC_2027</vt:lpstr>
      <vt:lpstr>FO_PNC_2023</vt:lpstr>
      <vt:lpstr>FO_PNC_2024</vt:lpstr>
      <vt:lpstr>FO_PNC_2025</vt:lpstr>
      <vt:lpstr>FO_PNC_2026</vt:lpstr>
      <vt:lpstr>FO_PNC_2027</vt:lpstr>
      <vt:lpstr>FSE_2023</vt:lpstr>
      <vt:lpstr>FSE_2024</vt:lpstr>
      <vt:lpstr>FSE_2025</vt:lpstr>
      <vt:lpstr>FSE_2026</vt:lpstr>
      <vt:lpstr>FSE_2027</vt:lpstr>
      <vt:lpstr>Gastos_com_órgãos_sociais_2023</vt:lpstr>
      <vt:lpstr>Gastos_com_órgãos_sociais_2024</vt:lpstr>
      <vt:lpstr>Gastos_com_órgãos_sociais_2025</vt:lpstr>
      <vt:lpstr>Gastos_com_órgãos_sociais_2026</vt:lpstr>
      <vt:lpstr>Gastos_com_órgãos_sociais_2027</vt:lpstr>
      <vt:lpstr>Gastos_Pessoal_2023</vt:lpstr>
      <vt:lpstr>Gastos_Pessoal_2024</vt:lpstr>
      <vt:lpstr>Gastos_Pessoal_2025</vt:lpstr>
      <vt:lpstr>Gastos_Pessoal_2026</vt:lpstr>
      <vt:lpstr>Gastos_Pessoal_2027</vt:lpstr>
      <vt:lpstr>GO_2023</vt:lpstr>
      <vt:lpstr>GO_2024</vt:lpstr>
      <vt:lpstr>GO_2025</vt:lpstr>
      <vt:lpstr>GO_2026</vt:lpstr>
      <vt:lpstr>GO_2027</vt:lpstr>
      <vt:lpstr>O_G_Operac_2023</vt:lpstr>
      <vt:lpstr>O_G_Operac_2024</vt:lpstr>
      <vt:lpstr>O_G_Operac_2025</vt:lpstr>
      <vt:lpstr>O_G_Operac_2026</vt:lpstr>
      <vt:lpstr>O_G_Operac_2027</vt:lpstr>
      <vt:lpstr>Passivo</vt:lpstr>
      <vt:lpstr>Passivo_2023</vt:lpstr>
      <vt:lpstr>Passivo_2024</vt:lpstr>
      <vt:lpstr>Passivo_2025</vt:lpstr>
      <vt:lpstr>Passivo_2026</vt:lpstr>
      <vt:lpstr>Passivo_2027</vt:lpstr>
      <vt:lpstr>Passivo_Corrente</vt:lpstr>
      <vt:lpstr>Passivo_Corrente_2023</vt:lpstr>
      <vt:lpstr>Passivo_Corrente_2024</vt:lpstr>
      <vt:lpstr>Passivo_Corrente_2025</vt:lpstr>
      <vt:lpstr>Passivo_Corrente_2026</vt:lpstr>
      <vt:lpstr>Passivo_Corrente_2027</vt:lpstr>
      <vt:lpstr>Passivo_Não_Corrente</vt:lpstr>
      <vt:lpstr>Passivo_Não_Corrente_2023</vt:lpstr>
      <vt:lpstr>Passivo_Não_Corrente_2024</vt:lpstr>
      <vt:lpstr>Passivo_Não_Corrente_2025</vt:lpstr>
      <vt:lpstr>Passivo_Não_Corrente_2026</vt:lpstr>
      <vt:lpstr>Passivo_Não_Corrente_2027</vt:lpstr>
      <vt:lpstr>Patrimonio_2023</vt:lpstr>
      <vt:lpstr>Patrimonio_2024</vt:lpstr>
      <vt:lpstr>Patrimonio_2025</vt:lpstr>
      <vt:lpstr>Patrimonio_2026</vt:lpstr>
      <vt:lpstr>Patrimonio_2027</vt:lpstr>
      <vt:lpstr>Patrimonio_Liquido_2023</vt:lpstr>
      <vt:lpstr>Patrimonio_Liquido_2024</vt:lpstr>
      <vt:lpstr>Patrimonio_Liquido_2025</vt:lpstr>
      <vt:lpstr>Patrimonio_Liquido_2026</vt:lpstr>
      <vt:lpstr>Patrimonio_Liquido_2027</vt:lpstr>
      <vt:lpstr>PMP_2023</vt:lpstr>
      <vt:lpstr>PMP_2024</vt:lpstr>
      <vt:lpstr>PMP_2025</vt:lpstr>
      <vt:lpstr>PMP_2026</vt:lpstr>
      <vt:lpstr>PMP_2027</vt:lpstr>
      <vt:lpstr>PS_2023</vt:lpstr>
      <vt:lpstr>PS_2024</vt:lpstr>
      <vt:lpstr>PS_2025</vt:lpstr>
      <vt:lpstr>PS_2026</vt:lpstr>
      <vt:lpstr>PS_2027</vt:lpstr>
      <vt:lpstr>RAI_2023</vt:lpstr>
      <vt:lpstr>RAI_2024</vt:lpstr>
      <vt:lpstr>RAI_2025</vt:lpstr>
      <vt:lpstr>RAI_2026</vt:lpstr>
      <vt:lpstr>RAI_2027</vt:lpstr>
      <vt:lpstr>RL_2023</vt:lpstr>
      <vt:lpstr>RL_2024</vt:lpstr>
      <vt:lpstr>RL_2025</vt:lpstr>
      <vt:lpstr>RL_2026</vt:lpstr>
      <vt:lpstr>RL_2027</vt:lpstr>
      <vt:lpstr>RL_Bal_2023</vt:lpstr>
      <vt:lpstr>RL_Bal_2024</vt:lpstr>
      <vt:lpstr>RL_Bal_2025</vt:lpstr>
      <vt:lpstr>RL_Bal_2026</vt:lpstr>
      <vt:lpstr>RL_Bal_2027</vt:lpstr>
      <vt:lpstr>RO_2023</vt:lpstr>
      <vt:lpstr>RO_2024</vt:lpstr>
      <vt:lpstr>RO_2025</vt:lpstr>
      <vt:lpstr>RO_2026</vt:lpstr>
      <vt:lpstr>RO_2027</vt:lpstr>
      <vt:lpstr>Total_do_Património_Líquido</vt:lpstr>
      <vt:lpstr>Vendas_2023</vt:lpstr>
      <vt:lpstr>Vendas_2024</vt:lpstr>
      <vt:lpstr>Vendas_2025</vt:lpstr>
      <vt:lpstr>Vendas_2026</vt:lpstr>
      <vt:lpstr>Vendas_2027</vt:lpstr>
      <vt:lpstr>VN_2023</vt:lpstr>
      <vt:lpstr>VN_2024</vt:lpstr>
      <vt:lpstr>VN_2025</vt:lpstr>
      <vt:lpstr>VN_2026</vt:lpstr>
      <vt:lpstr>VN_2027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Gabinete SET</dc:creator>
  <cp:lastModifiedBy>Luís Pereira</cp:lastModifiedBy>
  <cp:lastPrinted>2023-08-03T13:33:36Z</cp:lastPrinted>
  <dcterms:created xsi:type="dcterms:W3CDTF">2023-07-25T14:02:33Z</dcterms:created>
  <dcterms:modified xsi:type="dcterms:W3CDTF">2024-08-13T15:44:38Z</dcterms:modified>
</cp:coreProperties>
</file>